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15" activeTab="2"/>
  </bookViews>
  <sheets>
    <sheet name="Km-Ks" sheetId="1" r:id="rId1"/>
    <sheet name="Chart1" sheetId="2" r:id="rId2"/>
    <sheet name="Slab " sheetId="3" r:id="rId3"/>
    <sheet name="sopport condtons" sheetId="4" r:id="rId4"/>
  </sheets>
  <externalReferences>
    <externalReference r:id="rId7"/>
    <externalReference r:id="rId8"/>
  </externalReferences>
  <definedNames>
    <definedName name="_xlnm.Print_Area" localSheetId="2">'Slab '!$A$1:$O$183</definedName>
    <definedName name="_xlnm.Print_Titles" localSheetId="2">'Slab '!$1:$1</definedName>
  </definedNames>
  <calcPr fullCalcOnLoad="1"/>
</workbook>
</file>

<file path=xl/sharedStrings.xml><?xml version="1.0" encoding="utf-8"?>
<sst xmlns="http://schemas.openxmlformats.org/spreadsheetml/2006/main" count="658" uniqueCount="104">
  <si>
    <t>Ratio calc.</t>
  </si>
  <si>
    <t>Depth</t>
  </si>
  <si>
    <t>D-Load</t>
  </si>
  <si>
    <t>Weight</t>
  </si>
  <si>
    <t>Other.D.Load</t>
  </si>
  <si>
    <t>Wall Load</t>
  </si>
  <si>
    <t>q</t>
  </si>
  <si>
    <t>Total dead load</t>
  </si>
  <si>
    <t>Live Load</t>
  </si>
  <si>
    <t>Design load</t>
  </si>
  <si>
    <t>Alpha values</t>
  </si>
  <si>
    <t>Moment</t>
  </si>
  <si>
    <t>Mxs</t>
  </si>
  <si>
    <t>Mys</t>
  </si>
  <si>
    <t>Mxf</t>
  </si>
  <si>
    <t>Myf</t>
  </si>
  <si>
    <t>k-value</t>
  </si>
  <si>
    <t>r</t>
  </si>
  <si>
    <t>Amin</t>
  </si>
  <si>
    <t>Ascal</t>
  </si>
  <si>
    <t>Asfinal</t>
  </si>
  <si>
    <t># of bars</t>
  </si>
  <si>
    <t>r values</t>
  </si>
  <si>
    <t>Wall unit weight</t>
  </si>
  <si>
    <r>
      <t>r</t>
    </r>
    <r>
      <rPr>
        <b/>
        <vertAlign val="subscript"/>
        <sz val="8"/>
        <color indexed="12"/>
        <rFont val="CG Times"/>
        <family val="0"/>
      </rPr>
      <t>1</t>
    </r>
  </si>
  <si>
    <r>
      <t>r</t>
    </r>
    <r>
      <rPr>
        <b/>
        <vertAlign val="subscript"/>
        <sz val="8"/>
        <color indexed="12"/>
        <rFont val="CG Times"/>
        <family val="0"/>
      </rPr>
      <t>2</t>
    </r>
  </si>
  <si>
    <r>
      <t>r</t>
    </r>
    <r>
      <rPr>
        <b/>
        <vertAlign val="subscript"/>
        <sz val="8"/>
        <color indexed="12"/>
        <rFont val="CG Times"/>
        <family val="0"/>
      </rPr>
      <t>3</t>
    </r>
  </si>
  <si>
    <r>
      <t>r</t>
    </r>
    <r>
      <rPr>
        <b/>
        <vertAlign val="subscript"/>
        <sz val="8"/>
        <color indexed="12"/>
        <rFont val="CG Times"/>
        <family val="0"/>
      </rPr>
      <t>4</t>
    </r>
  </si>
  <si>
    <t>b</t>
  </si>
  <si>
    <t>f</t>
  </si>
  <si>
    <r>
      <t>n</t>
    </r>
    <r>
      <rPr>
        <b/>
        <vertAlign val="subscript"/>
        <sz val="8"/>
        <color indexed="12"/>
        <rFont val="CG Times"/>
        <family val="0"/>
      </rPr>
      <t>d</t>
    </r>
  </si>
  <si>
    <t>S.max [mm]</t>
  </si>
  <si>
    <t xml:space="preserve">  S.calc [mm]</t>
  </si>
  <si>
    <t>S.final [mm]</t>
  </si>
  <si>
    <t xml:space="preserve">  S.calc[mm]</t>
  </si>
  <si>
    <t>Amin[sq.mm]</t>
  </si>
  <si>
    <t>Ascal [sq.mm]</t>
  </si>
  <si>
    <t>Asfinal [sq.mm]</t>
  </si>
  <si>
    <t xml:space="preserve">f </t>
  </si>
  <si>
    <t>Rcx</t>
  </si>
  <si>
    <t>Rdx</t>
  </si>
  <si>
    <t>Rcy</t>
  </si>
  <si>
    <t>Rdy</t>
  </si>
  <si>
    <t>Load on Beams</t>
  </si>
  <si>
    <t>Shear coeffcient</t>
  </si>
  <si>
    <t>Load Transfer on Beams</t>
  </si>
  <si>
    <r>
      <t>R</t>
    </r>
    <r>
      <rPr>
        <b/>
        <vertAlign val="subscript"/>
        <sz val="8"/>
        <rFont val="CG Times"/>
        <family val="0"/>
      </rPr>
      <t>cx</t>
    </r>
  </si>
  <si>
    <r>
      <t>R</t>
    </r>
    <r>
      <rPr>
        <b/>
        <vertAlign val="subscript"/>
        <sz val="8"/>
        <rFont val="CG Times"/>
        <family val="0"/>
      </rPr>
      <t>dx</t>
    </r>
  </si>
  <si>
    <r>
      <t>R</t>
    </r>
    <r>
      <rPr>
        <b/>
        <vertAlign val="subscript"/>
        <sz val="8"/>
        <rFont val="CG Times"/>
        <family val="0"/>
      </rPr>
      <t>cy</t>
    </r>
  </si>
  <si>
    <r>
      <t>R</t>
    </r>
    <r>
      <rPr>
        <b/>
        <vertAlign val="subscript"/>
        <sz val="8"/>
        <rFont val="CG Times"/>
        <family val="0"/>
      </rPr>
      <t>dy</t>
    </r>
  </si>
  <si>
    <r>
      <t>a</t>
    </r>
    <r>
      <rPr>
        <b/>
        <sz val="8"/>
        <rFont val="CG Times"/>
        <family val="0"/>
      </rPr>
      <t xml:space="preserve"> </t>
    </r>
    <r>
      <rPr>
        <b/>
        <vertAlign val="subscript"/>
        <sz val="8"/>
        <rFont val="CG Times"/>
        <family val="0"/>
      </rPr>
      <t>ys</t>
    </r>
  </si>
  <si>
    <r>
      <t>a</t>
    </r>
    <r>
      <rPr>
        <b/>
        <sz val="8"/>
        <rFont val="CG Times"/>
        <family val="0"/>
      </rPr>
      <t xml:space="preserve"> </t>
    </r>
    <r>
      <rPr>
        <b/>
        <vertAlign val="subscript"/>
        <sz val="8"/>
        <rFont val="CG Times"/>
        <family val="0"/>
      </rPr>
      <t>xf</t>
    </r>
  </si>
  <si>
    <r>
      <t>a</t>
    </r>
    <r>
      <rPr>
        <b/>
        <sz val="8"/>
        <rFont val="CG Times"/>
        <family val="0"/>
      </rPr>
      <t xml:space="preserve"> </t>
    </r>
    <r>
      <rPr>
        <b/>
        <vertAlign val="subscript"/>
        <sz val="8"/>
        <rFont val="CG Times"/>
        <family val="0"/>
      </rPr>
      <t>yf</t>
    </r>
  </si>
  <si>
    <r>
      <t>a</t>
    </r>
    <r>
      <rPr>
        <b/>
        <vertAlign val="subscript"/>
        <sz val="8"/>
        <rFont val="CG Times"/>
        <family val="0"/>
      </rPr>
      <t>xs</t>
    </r>
  </si>
  <si>
    <r>
      <t>b</t>
    </r>
    <r>
      <rPr>
        <b/>
        <vertAlign val="subscript"/>
        <sz val="8"/>
        <rFont val="CG Times"/>
        <family val="0"/>
      </rPr>
      <t>vcx</t>
    </r>
  </si>
  <si>
    <r>
      <t>b</t>
    </r>
    <r>
      <rPr>
        <b/>
        <vertAlign val="subscript"/>
        <sz val="8"/>
        <rFont val="CG Times"/>
        <family val="0"/>
      </rPr>
      <t>vdx</t>
    </r>
  </si>
  <si>
    <r>
      <t>b</t>
    </r>
    <r>
      <rPr>
        <b/>
        <vertAlign val="subscript"/>
        <sz val="8"/>
        <rFont val="CG Times"/>
        <family val="0"/>
      </rPr>
      <t>vcy</t>
    </r>
  </si>
  <si>
    <r>
      <t>b</t>
    </r>
    <r>
      <rPr>
        <b/>
        <vertAlign val="subscript"/>
        <sz val="8"/>
        <rFont val="CG Times"/>
        <family val="0"/>
      </rPr>
      <t>vdy</t>
    </r>
  </si>
  <si>
    <t>Ceiling Plaster</t>
  </si>
  <si>
    <t>Wall Height</t>
  </si>
  <si>
    <t>Note:-      N.A.-Means Not Applicable</t>
  </si>
  <si>
    <r>
      <t xml:space="preserve">                 F</t>
    </r>
    <r>
      <rPr>
        <b/>
        <vertAlign val="subscript"/>
        <sz val="8"/>
        <rFont val="CG Times"/>
        <family val="0"/>
      </rPr>
      <t>ck</t>
    </r>
    <r>
      <rPr>
        <b/>
        <sz val="8"/>
        <rFont val="CG Times"/>
        <family val="0"/>
      </rPr>
      <t xml:space="preserve"> for C25 is 20Mpa</t>
    </r>
  </si>
  <si>
    <r>
      <t>F</t>
    </r>
    <r>
      <rPr>
        <vertAlign val="subscript"/>
        <sz val="8"/>
        <rFont val="CG Times"/>
        <family val="0"/>
      </rPr>
      <t>ck</t>
    </r>
  </si>
  <si>
    <r>
      <t>F</t>
    </r>
    <r>
      <rPr>
        <vertAlign val="subscript"/>
        <sz val="8"/>
        <rFont val="CG Times"/>
        <family val="0"/>
      </rPr>
      <t>yk</t>
    </r>
  </si>
  <si>
    <r>
      <t>F</t>
    </r>
    <r>
      <rPr>
        <vertAlign val="subscript"/>
        <sz val="8"/>
        <rFont val="CG Times"/>
        <family val="0"/>
      </rPr>
      <t>cd</t>
    </r>
  </si>
  <si>
    <r>
      <t>F</t>
    </r>
    <r>
      <rPr>
        <vertAlign val="subscript"/>
        <sz val="8"/>
        <rFont val="CG Times"/>
        <family val="0"/>
      </rPr>
      <t>yd</t>
    </r>
  </si>
  <si>
    <r>
      <t>b</t>
    </r>
    <r>
      <rPr>
        <vertAlign val="subscript"/>
        <sz val="8"/>
        <rFont val="CG Times"/>
        <family val="0"/>
      </rPr>
      <t xml:space="preserve">a </t>
    </r>
    <r>
      <rPr>
        <sz val="8"/>
        <rFont val="CG Times"/>
        <family val="0"/>
      </rPr>
      <t>for 2:1</t>
    </r>
  </si>
  <si>
    <r>
      <t>b</t>
    </r>
    <r>
      <rPr>
        <vertAlign val="subscript"/>
        <sz val="8"/>
        <rFont val="CG Times"/>
        <family val="0"/>
      </rPr>
      <t xml:space="preserve">a </t>
    </r>
    <r>
      <rPr>
        <sz val="8"/>
        <rFont val="CG Times"/>
        <family val="0"/>
      </rPr>
      <t>for 1:1</t>
    </r>
  </si>
  <si>
    <r>
      <t>b</t>
    </r>
    <r>
      <rPr>
        <vertAlign val="subscript"/>
        <sz val="8"/>
        <rFont val="CG Times"/>
        <family val="0"/>
      </rPr>
      <t xml:space="preserve">a  </t>
    </r>
    <r>
      <rPr>
        <sz val="8"/>
        <rFont val="CG Times"/>
        <family val="0"/>
      </rPr>
      <t>calc</t>
    </r>
  </si>
  <si>
    <t>Cover [mm]</t>
  </si>
  <si>
    <t>Lx [m]</t>
  </si>
  <si>
    <t>Ly [m]</t>
  </si>
  <si>
    <r>
      <t>b</t>
    </r>
    <r>
      <rPr>
        <b/>
        <vertAlign val="subscript"/>
        <sz val="8"/>
        <rFont val="CG Times"/>
        <family val="0"/>
      </rPr>
      <t xml:space="preserve">a  </t>
    </r>
    <r>
      <rPr>
        <b/>
        <sz val="8"/>
        <rFont val="CG Times"/>
        <family val="0"/>
      </rPr>
      <t>calc</t>
    </r>
  </si>
  <si>
    <t>d [mm]</t>
  </si>
  <si>
    <t>D [mm]</t>
  </si>
  <si>
    <t>d[mm]</t>
  </si>
  <si>
    <t>-Discontinous</t>
  </si>
  <si>
    <t>-Continuous</t>
  </si>
  <si>
    <t>Dead Load</t>
  </si>
  <si>
    <t>Panel Name</t>
  </si>
  <si>
    <t>S-1</t>
  </si>
  <si>
    <t>S-2</t>
  </si>
  <si>
    <t>Total design load</t>
  </si>
  <si>
    <t>Ly/Lx=</t>
  </si>
  <si>
    <t>Panel Type Case No.=</t>
  </si>
  <si>
    <t>S-4</t>
  </si>
  <si>
    <t>Floor finish</t>
  </si>
  <si>
    <t xml:space="preserve"> </t>
  </si>
  <si>
    <t>Lx/4</t>
  </si>
  <si>
    <t xml:space="preserve">     </t>
  </si>
  <si>
    <t>C-25</t>
  </si>
  <si>
    <t>S-300</t>
  </si>
  <si>
    <t>Km</t>
  </si>
  <si>
    <t>Ks</t>
  </si>
  <si>
    <t>L</t>
  </si>
  <si>
    <t>Thickness</t>
  </si>
  <si>
    <t>Analysis and Design of Typical Slab</t>
  </si>
  <si>
    <t>3cm Screed</t>
  </si>
  <si>
    <t>S-5</t>
  </si>
  <si>
    <t>S-7</t>
  </si>
  <si>
    <t>S-8</t>
  </si>
  <si>
    <t>fy4</t>
  </si>
  <si>
    <t>S-3</t>
  </si>
  <si>
    <t>S-6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</si>
</sst>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#,##0.000_);\(#,##0.000\)"/>
    <numFmt numFmtId="174" formatCode="#,##0.0_);\(#,##0.0\)"/>
    <numFmt numFmtId="175" formatCode="0.0"/>
    <numFmt numFmtId="176" formatCode="0.00000000"/>
    <numFmt numFmtId="177" formatCode="0.000000000"/>
    <numFmt numFmtId="178" formatCode="0.00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9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Arial"/>
      <family val="0"/>
    </font>
    <font>
      <sz val="8"/>
      <name val="CG Times"/>
      <family val="0"/>
    </font>
    <font>
      <b/>
      <sz val="8"/>
      <name val="CG Times"/>
      <family val="0"/>
    </font>
    <font>
      <sz val="8"/>
      <name val="Arial"/>
      <family val="0"/>
    </font>
    <font>
      <sz val="8"/>
      <name val="Symbol"/>
      <family val="0"/>
    </font>
    <font>
      <b/>
      <sz val="14"/>
      <name val="CG Times"/>
      <family val="0"/>
    </font>
    <font>
      <b/>
      <sz val="8"/>
      <color indexed="12"/>
      <name val="CG Times"/>
      <family val="0"/>
    </font>
    <font>
      <b/>
      <vertAlign val="subscript"/>
      <sz val="8"/>
      <color indexed="12"/>
      <name val="CG Times"/>
      <family val="0"/>
    </font>
    <font>
      <b/>
      <i/>
      <sz val="8"/>
      <color indexed="12"/>
      <name val="CG Times"/>
      <family val="0"/>
    </font>
    <font>
      <b/>
      <i/>
      <sz val="10"/>
      <color indexed="12"/>
      <name val="Symbol"/>
      <family val="1"/>
    </font>
    <font>
      <b/>
      <i/>
      <sz val="8"/>
      <color indexed="12"/>
      <name val="Symbol"/>
      <family val="1"/>
    </font>
    <font>
      <b/>
      <vertAlign val="subscript"/>
      <sz val="8"/>
      <name val="CG Times"/>
      <family val="0"/>
    </font>
    <font>
      <b/>
      <sz val="12"/>
      <color indexed="16"/>
      <name val="CG Times"/>
      <family val="0"/>
    </font>
    <font>
      <b/>
      <sz val="8"/>
      <name val="Symbol"/>
      <family val="1"/>
    </font>
    <font>
      <vertAlign val="subscript"/>
      <sz val="8"/>
      <name val="CG Times"/>
      <family val="0"/>
    </font>
    <font>
      <b/>
      <sz val="8"/>
      <color indexed="10"/>
      <name val="CG Times"/>
      <family val="0"/>
    </font>
    <font>
      <b/>
      <sz val="12"/>
      <color indexed="12"/>
      <name val="CityBlueprint"/>
      <family val="0"/>
    </font>
    <font>
      <sz val="1.75"/>
      <name val="Arial"/>
      <family val="2"/>
    </font>
    <font>
      <sz val="3.5"/>
      <name val="Arial"/>
      <family val="0"/>
    </font>
    <font>
      <sz val="3.75"/>
      <name val="Arial"/>
      <family val="0"/>
    </font>
    <font>
      <b/>
      <sz val="10"/>
      <name val="Arial"/>
      <family val="2"/>
    </font>
    <font>
      <sz val="12"/>
      <name val="CG Times"/>
      <family val="0"/>
    </font>
    <font>
      <sz val="12"/>
      <name val="Arial"/>
      <family val="0"/>
    </font>
    <font>
      <b/>
      <sz val="12"/>
      <name val="CG Times"/>
      <family val="0"/>
    </font>
    <font>
      <b/>
      <sz val="16"/>
      <color indexed="40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39" fontId="5" fillId="0" borderId="0" xfId="0" applyNumberFormat="1" applyFont="1" applyFill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39" fontId="5" fillId="0" borderId="1" xfId="0" applyNumberFormat="1" applyFont="1" applyFill="1" applyBorder="1" applyAlignment="1" applyProtection="1">
      <alignment horizontal="center"/>
      <protection/>
    </xf>
    <xf numFmtId="39" fontId="6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39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2" fontId="5" fillId="0" borderId="1" xfId="0" applyNumberFormat="1" applyFont="1" applyFill="1" applyBorder="1" applyAlignment="1" applyProtection="1">
      <alignment horizontal="center"/>
      <protection/>
    </xf>
    <xf numFmtId="39" fontId="8" fillId="0" borderId="1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39" fontId="6" fillId="2" borderId="1" xfId="0" applyNumberFormat="1" applyFont="1" applyFill="1" applyBorder="1" applyAlignment="1" applyProtection="1">
      <alignment horizontal="center"/>
      <protection/>
    </xf>
    <xf numFmtId="39" fontId="5" fillId="2" borderId="1" xfId="0" applyNumberFormat="1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9" fontId="5" fillId="3" borderId="1" xfId="0" applyNumberFormat="1" applyFont="1" applyFill="1" applyBorder="1" applyAlignment="1" applyProtection="1">
      <alignment horizontal="center"/>
      <protection/>
    </xf>
    <xf numFmtId="39" fontId="6" fillId="3" borderId="1" xfId="0" applyNumberFormat="1" applyFont="1" applyFill="1" applyBorder="1" applyAlignment="1" applyProtection="1">
      <alignment horizontal="center"/>
      <protection/>
    </xf>
    <xf numFmtId="39" fontId="10" fillId="0" borderId="1" xfId="0" applyNumberFormat="1" applyFont="1" applyFill="1" applyBorder="1" applyAlignment="1" applyProtection="1">
      <alignment horizontal="center"/>
      <protection/>
    </xf>
    <xf numFmtId="39" fontId="10" fillId="0" borderId="4" xfId="0" applyNumberFormat="1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quotePrefix="1">
      <alignment/>
    </xf>
    <xf numFmtId="39" fontId="12" fillId="0" borderId="1" xfId="0" applyNumberFormat="1" applyFont="1" applyFill="1" applyBorder="1" applyAlignment="1" applyProtection="1">
      <alignment horizontal="center"/>
      <protection/>
    </xf>
    <xf numFmtId="39" fontId="13" fillId="0" borderId="1" xfId="0" applyNumberFormat="1" applyFont="1" applyFill="1" applyBorder="1" applyAlignment="1" applyProtection="1">
      <alignment horizontal="center"/>
      <protection/>
    </xf>
    <xf numFmtId="39" fontId="14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39" fontId="17" fillId="0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9" fontId="19" fillId="0" borderId="1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39" fontId="6" fillId="0" borderId="4" xfId="0" applyNumberFormat="1" applyFont="1" applyFill="1" applyBorder="1" applyAlignment="1" applyProtection="1">
      <alignment horizontal="right"/>
      <protection/>
    </xf>
    <xf numFmtId="39" fontId="5" fillId="0" borderId="5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/>
    </xf>
    <xf numFmtId="175" fontId="7" fillId="0" borderId="1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7" xfId="0" applyFont="1" applyFill="1" applyBorder="1" applyAlignment="1">
      <alignment horizontal="center"/>
    </xf>
    <xf numFmtId="39" fontId="16" fillId="0" borderId="1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'Slab 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'Slab '!#REF!</c:f>
              <c:strCache>
                <c:ptCount val="1"/>
              </c:strCache>
            </c:strRef>
          </c:cat>
          <c:val>
            <c:numRef>
              <c:f>'Slab '!#REF!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'Slab 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'Slab '!#REF!</c:f>
              <c:strCache>
                <c:ptCount val="1"/>
              </c:strCache>
            </c:strRef>
          </c:cat>
          <c:val>
            <c:numRef>
              <c:f>'Slab '!#REF!</c:f>
              <c:numCache>
                <c:ptCount val="1"/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'Slab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'Slab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8003036"/>
        <c:axId val="29374141"/>
      </c:scatterChart>
      <c:valAx>
        <c:axId val="480030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374141"/>
        <c:crosses val="max"/>
        <c:crossBetween val="midCat"/>
        <c:dispUnits/>
        <c:majorUnit val="0.5"/>
      </c:val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8003036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'[2]Slab &amp; Staircase'!#REF!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'[2]Slab &amp; Staircase'!#REF!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3040678"/>
        <c:axId val="30495191"/>
      </c:scatterChart>
      <c:valAx>
        <c:axId val="6304067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0495191"/>
        <c:crosses val="max"/>
        <c:crossBetween val="midCat"/>
        <c:dispUnits/>
        <c:majorUnit val="0.5"/>
      </c:valAx>
      <c:valAx>
        <c:axId val="304951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3040678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'Slab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'Slab 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021264"/>
        <c:axId val="54191377"/>
      </c:scatterChart>
      <c:valAx>
        <c:axId val="60212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191377"/>
        <c:crosses val="max"/>
        <c:crossBetween val="midCat"/>
        <c:dispUnits/>
        <c:majorUnit val="0.5"/>
      </c:valAx>
      <c:valAx>
        <c:axId val="541913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021264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'[1]Slab &amp; Staircase'!#REF!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'[1]Slab &amp; Staircase'!#REF!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7960346"/>
        <c:axId val="27425387"/>
      </c:scatterChart>
      <c:valAx>
        <c:axId val="1796034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7425387"/>
        <c:crosses val="max"/>
        <c:crossBetween val="midCat"/>
        <c:dispUnits/>
        <c:majorUnit val="0.5"/>
      </c:valAx>
      <c:valAx>
        <c:axId val="274253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7960346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'[1]Slab &amp; Staircase'!#REF!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'[1]Slab &amp; Staircase'!#REF!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5501892"/>
        <c:axId val="6863845"/>
      </c:scatterChart>
      <c:valAx>
        <c:axId val="4550189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863845"/>
        <c:crosses val="max"/>
        <c:crossBetween val="midCat"/>
        <c:dispUnits/>
        <c:majorUnit val="0.5"/>
      </c:valAx>
      <c:valAx>
        <c:axId val="68638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5501892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'[1]Slab &amp; Staircase'!#REF!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'[1]Slab &amp; Staircase'!#REF!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1774606"/>
        <c:axId val="19100543"/>
      </c:scatterChart>
      <c:valAx>
        <c:axId val="6177460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9100543"/>
        <c:crosses val="max"/>
        <c:crossBetween val="midCat"/>
        <c:dispUnits/>
        <c:majorUnit val="0.5"/>
      </c:valAx>
      <c:valAx>
        <c:axId val="191005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61774606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'[1]Slab &amp; Staircase'!#REF!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'[1]Slab &amp; Staircase'!#REF!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7687160"/>
        <c:axId val="3640121"/>
      </c:scatterChart>
      <c:valAx>
        <c:axId val="3768716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640121"/>
        <c:crosses val="max"/>
        <c:crossBetween val="midCat"/>
        <c:dispUnits/>
        <c:majorUnit val="0.5"/>
      </c:valAx>
      <c:valAx>
        <c:axId val="36401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7687160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182</xdr:row>
      <xdr:rowOff>0</xdr:rowOff>
    </xdr:from>
    <xdr:to>
      <xdr:col>3</xdr:col>
      <xdr:colOff>9525</xdr:colOff>
      <xdr:row>182</xdr:row>
      <xdr:rowOff>0</xdr:rowOff>
    </xdr:to>
    <xdr:sp>
      <xdr:nvSpPr>
        <xdr:cNvPr id="1" name="Line 1"/>
        <xdr:cNvSpPr>
          <a:spLocks/>
        </xdr:cNvSpPr>
      </xdr:nvSpPr>
      <xdr:spPr>
        <a:xfrm>
          <a:off x="21621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504825</xdr:colOff>
      <xdr:row>182</xdr:row>
      <xdr:rowOff>0</xdr:rowOff>
    </xdr:from>
    <xdr:to>
      <xdr:col>4</xdr:col>
      <xdr:colOff>504825</xdr:colOff>
      <xdr:row>182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3432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9525</xdr:colOff>
      <xdr:row>182</xdr:row>
      <xdr:rowOff>0</xdr:rowOff>
    </xdr:to>
    <xdr:sp>
      <xdr:nvSpPr>
        <xdr:cNvPr id="3" name="Line 6"/>
        <xdr:cNvSpPr>
          <a:spLocks/>
        </xdr:cNvSpPr>
      </xdr:nvSpPr>
      <xdr:spPr>
        <a:xfrm>
          <a:off x="21621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12</xdr:col>
      <xdr:colOff>76200</xdr:colOff>
      <xdr:row>182</xdr:row>
      <xdr:rowOff>0</xdr:rowOff>
    </xdr:to>
    <xdr:graphicFrame>
      <xdr:nvGraphicFramePr>
        <xdr:cNvPr id="4" name="Chart 28"/>
        <xdr:cNvGraphicFramePr/>
      </xdr:nvGraphicFramePr>
      <xdr:xfrm>
        <a:off x="3228975" y="27632025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438150</xdr:colOff>
      <xdr:row>182</xdr:row>
      <xdr:rowOff>0</xdr:rowOff>
    </xdr:from>
    <xdr:to>
      <xdr:col>2</xdr:col>
      <xdr:colOff>438150</xdr:colOff>
      <xdr:row>182</xdr:row>
      <xdr:rowOff>0</xdr:rowOff>
    </xdr:to>
    <xdr:sp>
      <xdr:nvSpPr>
        <xdr:cNvPr id="5" name="Line 32"/>
        <xdr:cNvSpPr>
          <a:spLocks/>
        </xdr:cNvSpPr>
      </xdr:nvSpPr>
      <xdr:spPr>
        <a:xfrm>
          <a:off x="17526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182</xdr:row>
      <xdr:rowOff>0</xdr:rowOff>
    </xdr:from>
    <xdr:to>
      <xdr:col>2</xdr:col>
      <xdr:colOff>638175</xdr:colOff>
      <xdr:row>182</xdr:row>
      <xdr:rowOff>0</xdr:rowOff>
    </xdr:to>
    <xdr:sp>
      <xdr:nvSpPr>
        <xdr:cNvPr id="6" name="Line 33"/>
        <xdr:cNvSpPr>
          <a:spLocks/>
        </xdr:cNvSpPr>
      </xdr:nvSpPr>
      <xdr:spPr>
        <a:xfrm>
          <a:off x="19526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182</xdr:row>
      <xdr:rowOff>0</xdr:rowOff>
    </xdr:from>
    <xdr:to>
      <xdr:col>3</xdr:col>
      <xdr:colOff>257175</xdr:colOff>
      <xdr:row>182</xdr:row>
      <xdr:rowOff>0</xdr:rowOff>
    </xdr:to>
    <xdr:sp>
      <xdr:nvSpPr>
        <xdr:cNvPr id="7" name="Line 34"/>
        <xdr:cNvSpPr>
          <a:spLocks/>
        </xdr:cNvSpPr>
      </xdr:nvSpPr>
      <xdr:spPr>
        <a:xfrm>
          <a:off x="24098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182</xdr:row>
      <xdr:rowOff>0</xdr:rowOff>
    </xdr:from>
    <xdr:to>
      <xdr:col>4</xdr:col>
      <xdr:colOff>123825</xdr:colOff>
      <xdr:row>182</xdr:row>
      <xdr:rowOff>0</xdr:rowOff>
    </xdr:to>
    <xdr:sp>
      <xdr:nvSpPr>
        <xdr:cNvPr id="8" name="Line 35"/>
        <xdr:cNvSpPr>
          <a:spLocks/>
        </xdr:cNvSpPr>
      </xdr:nvSpPr>
      <xdr:spPr>
        <a:xfrm>
          <a:off x="29622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4</xdr:col>
      <xdr:colOff>390525</xdr:colOff>
      <xdr:row>182</xdr:row>
      <xdr:rowOff>0</xdr:rowOff>
    </xdr:to>
    <xdr:sp>
      <xdr:nvSpPr>
        <xdr:cNvPr id="9" name="Line 36"/>
        <xdr:cNvSpPr>
          <a:spLocks/>
        </xdr:cNvSpPr>
      </xdr:nvSpPr>
      <xdr:spPr>
        <a:xfrm>
          <a:off x="3228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182</xdr:row>
      <xdr:rowOff>0</xdr:rowOff>
    </xdr:from>
    <xdr:to>
      <xdr:col>5</xdr:col>
      <xdr:colOff>47625</xdr:colOff>
      <xdr:row>182</xdr:row>
      <xdr:rowOff>0</xdr:rowOff>
    </xdr:to>
    <xdr:sp>
      <xdr:nvSpPr>
        <xdr:cNvPr id="10" name="Line 37"/>
        <xdr:cNvSpPr>
          <a:spLocks/>
        </xdr:cNvSpPr>
      </xdr:nvSpPr>
      <xdr:spPr>
        <a:xfrm>
          <a:off x="35909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182</xdr:row>
      <xdr:rowOff>0</xdr:rowOff>
    </xdr:from>
    <xdr:to>
      <xdr:col>5</xdr:col>
      <xdr:colOff>304800</xdr:colOff>
      <xdr:row>182</xdr:row>
      <xdr:rowOff>0</xdr:rowOff>
    </xdr:to>
    <xdr:sp>
      <xdr:nvSpPr>
        <xdr:cNvPr id="11" name="Line 38"/>
        <xdr:cNvSpPr>
          <a:spLocks/>
        </xdr:cNvSpPr>
      </xdr:nvSpPr>
      <xdr:spPr>
        <a:xfrm>
          <a:off x="38481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12" name="Line 39"/>
        <xdr:cNvSpPr>
          <a:spLocks/>
        </xdr:cNvSpPr>
      </xdr:nvSpPr>
      <xdr:spPr>
        <a:xfrm>
          <a:off x="44672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182</xdr:row>
      <xdr:rowOff>0</xdr:rowOff>
    </xdr:from>
    <xdr:to>
      <xdr:col>6</xdr:col>
      <xdr:colOff>304800</xdr:colOff>
      <xdr:row>182</xdr:row>
      <xdr:rowOff>0</xdr:rowOff>
    </xdr:to>
    <xdr:sp>
      <xdr:nvSpPr>
        <xdr:cNvPr id="13" name="Line 40"/>
        <xdr:cNvSpPr>
          <a:spLocks/>
        </xdr:cNvSpPr>
      </xdr:nvSpPr>
      <xdr:spPr>
        <a:xfrm>
          <a:off x="47720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182</xdr:row>
      <xdr:rowOff>0</xdr:rowOff>
    </xdr:from>
    <xdr:to>
      <xdr:col>7</xdr:col>
      <xdr:colOff>0</xdr:colOff>
      <xdr:row>182</xdr:row>
      <xdr:rowOff>0</xdr:rowOff>
    </xdr:to>
    <xdr:sp>
      <xdr:nvSpPr>
        <xdr:cNvPr id="14" name="Line 41"/>
        <xdr:cNvSpPr>
          <a:spLocks/>
        </xdr:cNvSpPr>
      </xdr:nvSpPr>
      <xdr:spPr>
        <a:xfrm>
          <a:off x="5133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182</xdr:row>
      <xdr:rowOff>0</xdr:rowOff>
    </xdr:from>
    <xdr:to>
      <xdr:col>3</xdr:col>
      <xdr:colOff>514350</xdr:colOff>
      <xdr:row>182</xdr:row>
      <xdr:rowOff>0</xdr:rowOff>
    </xdr:to>
    <xdr:sp>
      <xdr:nvSpPr>
        <xdr:cNvPr id="15" name="Line 42"/>
        <xdr:cNvSpPr>
          <a:spLocks/>
        </xdr:cNvSpPr>
      </xdr:nvSpPr>
      <xdr:spPr>
        <a:xfrm>
          <a:off x="2667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182</xdr:row>
      <xdr:rowOff>0</xdr:rowOff>
    </xdr:from>
    <xdr:to>
      <xdr:col>3</xdr:col>
      <xdr:colOff>38100</xdr:colOff>
      <xdr:row>182</xdr:row>
      <xdr:rowOff>0</xdr:rowOff>
    </xdr:to>
    <xdr:sp>
      <xdr:nvSpPr>
        <xdr:cNvPr id="16" name="Line 43"/>
        <xdr:cNvSpPr>
          <a:spLocks/>
        </xdr:cNvSpPr>
      </xdr:nvSpPr>
      <xdr:spPr>
        <a:xfrm>
          <a:off x="21907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>
      <xdr:nvSpPr>
        <xdr:cNvPr id="17" name="Line 44"/>
        <xdr:cNvSpPr>
          <a:spLocks/>
        </xdr:cNvSpPr>
      </xdr:nvSpPr>
      <xdr:spPr>
        <a:xfrm>
          <a:off x="13144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182</xdr:row>
      <xdr:rowOff>0</xdr:rowOff>
    </xdr:from>
    <xdr:to>
      <xdr:col>2</xdr:col>
      <xdr:colOff>209550</xdr:colOff>
      <xdr:row>182</xdr:row>
      <xdr:rowOff>0</xdr:rowOff>
    </xdr:to>
    <xdr:sp>
      <xdr:nvSpPr>
        <xdr:cNvPr id="18" name="Line 45"/>
        <xdr:cNvSpPr>
          <a:spLocks/>
        </xdr:cNvSpPr>
      </xdr:nvSpPr>
      <xdr:spPr>
        <a:xfrm>
          <a:off x="1524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19" name="Line 137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20" name="Line 138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21" name="Line 139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22" name="Line 143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371475</xdr:colOff>
      <xdr:row>182</xdr:row>
      <xdr:rowOff>0</xdr:rowOff>
    </xdr:from>
    <xdr:to>
      <xdr:col>6</xdr:col>
      <xdr:colOff>47625</xdr:colOff>
      <xdr:row>182</xdr:row>
      <xdr:rowOff>0</xdr:rowOff>
    </xdr:to>
    <xdr:sp>
      <xdr:nvSpPr>
        <xdr:cNvPr id="23" name="AutoShape 173"/>
        <xdr:cNvSpPr>
          <a:spLocks/>
        </xdr:cNvSpPr>
      </xdr:nvSpPr>
      <xdr:spPr>
        <a:xfrm>
          <a:off x="3914775" y="27632025"/>
          <a:ext cx="6000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352425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24" name="AutoShape 174"/>
        <xdr:cNvSpPr>
          <a:spLocks/>
        </xdr:cNvSpPr>
      </xdr:nvSpPr>
      <xdr:spPr>
        <a:xfrm>
          <a:off x="3895725" y="27632025"/>
          <a:ext cx="6000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400050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25" name="AutoShape 175"/>
        <xdr:cNvSpPr>
          <a:spLocks/>
        </xdr:cNvSpPr>
      </xdr:nvSpPr>
      <xdr:spPr>
        <a:xfrm>
          <a:off x="3943350" y="27632025"/>
          <a:ext cx="5810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400050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26" name="AutoShape 178"/>
        <xdr:cNvSpPr>
          <a:spLocks/>
        </xdr:cNvSpPr>
      </xdr:nvSpPr>
      <xdr:spPr>
        <a:xfrm>
          <a:off x="3943350" y="27632025"/>
          <a:ext cx="5810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666750</xdr:colOff>
      <xdr:row>182</xdr:row>
      <xdr:rowOff>0</xdr:rowOff>
    </xdr:from>
    <xdr:to>
      <xdr:col>3</xdr:col>
      <xdr:colOff>38100</xdr:colOff>
      <xdr:row>182</xdr:row>
      <xdr:rowOff>0</xdr:rowOff>
    </xdr:to>
    <xdr:sp>
      <xdr:nvSpPr>
        <xdr:cNvPr id="27" name="AutoShape 179"/>
        <xdr:cNvSpPr>
          <a:spLocks/>
        </xdr:cNvSpPr>
      </xdr:nvSpPr>
      <xdr:spPr>
        <a:xfrm>
          <a:off x="1981200" y="27632025"/>
          <a:ext cx="2095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666750</xdr:colOff>
      <xdr:row>182</xdr:row>
      <xdr:rowOff>0</xdr:rowOff>
    </xdr:from>
    <xdr:to>
      <xdr:col>3</xdr:col>
      <xdr:colOff>38100</xdr:colOff>
      <xdr:row>182</xdr:row>
      <xdr:rowOff>0</xdr:rowOff>
    </xdr:to>
    <xdr:sp>
      <xdr:nvSpPr>
        <xdr:cNvPr id="28" name="AutoShape 182"/>
        <xdr:cNvSpPr>
          <a:spLocks/>
        </xdr:cNvSpPr>
      </xdr:nvSpPr>
      <xdr:spPr>
        <a:xfrm>
          <a:off x="1981200" y="27632025"/>
          <a:ext cx="2095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676275</xdr:colOff>
      <xdr:row>182</xdr:row>
      <xdr:rowOff>0</xdr:rowOff>
    </xdr:from>
    <xdr:to>
      <xdr:col>3</xdr:col>
      <xdr:colOff>47625</xdr:colOff>
      <xdr:row>182</xdr:row>
      <xdr:rowOff>0</xdr:rowOff>
    </xdr:to>
    <xdr:sp>
      <xdr:nvSpPr>
        <xdr:cNvPr id="29" name="AutoShape 185"/>
        <xdr:cNvSpPr>
          <a:spLocks/>
        </xdr:cNvSpPr>
      </xdr:nvSpPr>
      <xdr:spPr>
        <a:xfrm>
          <a:off x="1990725" y="27632025"/>
          <a:ext cx="2095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166</xdr:row>
      <xdr:rowOff>0</xdr:rowOff>
    </xdr:from>
    <xdr:to>
      <xdr:col>3</xdr:col>
      <xdr:colOff>314325</xdr:colOff>
      <xdr:row>166</xdr:row>
      <xdr:rowOff>0</xdr:rowOff>
    </xdr:to>
    <xdr:sp>
      <xdr:nvSpPr>
        <xdr:cNvPr id="30" name="Line 189"/>
        <xdr:cNvSpPr>
          <a:spLocks/>
        </xdr:cNvSpPr>
      </xdr:nvSpPr>
      <xdr:spPr>
        <a:xfrm>
          <a:off x="2466975" y="24984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166</xdr:row>
      <xdr:rowOff>0</xdr:rowOff>
    </xdr:from>
    <xdr:to>
      <xdr:col>1</xdr:col>
      <xdr:colOff>180975</xdr:colOff>
      <xdr:row>166</xdr:row>
      <xdr:rowOff>0</xdr:rowOff>
    </xdr:to>
    <xdr:sp>
      <xdr:nvSpPr>
        <xdr:cNvPr id="31" name="Line 190"/>
        <xdr:cNvSpPr>
          <a:spLocks/>
        </xdr:cNvSpPr>
      </xdr:nvSpPr>
      <xdr:spPr>
        <a:xfrm>
          <a:off x="619125" y="249840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32" name="Line 201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33" name="Line 202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34" name="Rectangle 205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35" name="Drawing 265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36" name="Rectangle 209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37" name="Drawing 270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333375</xdr:colOff>
      <xdr:row>182</xdr:row>
      <xdr:rowOff>0</xdr:rowOff>
    </xdr:from>
    <xdr:to>
      <xdr:col>3</xdr:col>
      <xdr:colOff>438150</xdr:colOff>
      <xdr:row>182</xdr:row>
      <xdr:rowOff>0</xdr:rowOff>
    </xdr:to>
    <xdr:sp>
      <xdr:nvSpPr>
        <xdr:cNvPr id="38" name="Rectangle 211"/>
        <xdr:cNvSpPr>
          <a:spLocks/>
        </xdr:cNvSpPr>
      </xdr:nvSpPr>
      <xdr:spPr>
        <a:xfrm>
          <a:off x="2486025" y="27632025"/>
          <a:ext cx="1047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39" name="Line 212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40" name="Line 213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41" name="Line 215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42" name="Rectangle 217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43" name="Drawing 265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44" name="Line 220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45" name="Rectangle 222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46" name="Drawing 270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47" name="Line 257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48" name="Line 258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49" name="Line 259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50" name="Line 263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51" name="Line 270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52" name="Line 271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53" name="Line 272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54" name="Line 276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12</xdr:col>
      <xdr:colOff>76200</xdr:colOff>
      <xdr:row>182</xdr:row>
      <xdr:rowOff>0</xdr:rowOff>
    </xdr:to>
    <xdr:graphicFrame>
      <xdr:nvGraphicFramePr>
        <xdr:cNvPr id="55" name="Chart 385"/>
        <xdr:cNvGraphicFramePr/>
      </xdr:nvGraphicFramePr>
      <xdr:xfrm>
        <a:off x="3228975" y="27632025"/>
        <a:ext cx="5248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182</xdr:row>
      <xdr:rowOff>0</xdr:rowOff>
    </xdr:from>
    <xdr:to>
      <xdr:col>2</xdr:col>
      <xdr:colOff>438150</xdr:colOff>
      <xdr:row>182</xdr:row>
      <xdr:rowOff>0</xdr:rowOff>
    </xdr:to>
    <xdr:sp>
      <xdr:nvSpPr>
        <xdr:cNvPr id="56" name="Line 387"/>
        <xdr:cNvSpPr>
          <a:spLocks/>
        </xdr:cNvSpPr>
      </xdr:nvSpPr>
      <xdr:spPr>
        <a:xfrm>
          <a:off x="17526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182</xdr:row>
      <xdr:rowOff>0</xdr:rowOff>
    </xdr:from>
    <xdr:to>
      <xdr:col>2</xdr:col>
      <xdr:colOff>638175</xdr:colOff>
      <xdr:row>182</xdr:row>
      <xdr:rowOff>0</xdr:rowOff>
    </xdr:to>
    <xdr:sp>
      <xdr:nvSpPr>
        <xdr:cNvPr id="57" name="Line 388"/>
        <xdr:cNvSpPr>
          <a:spLocks/>
        </xdr:cNvSpPr>
      </xdr:nvSpPr>
      <xdr:spPr>
        <a:xfrm>
          <a:off x="19526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182</xdr:row>
      <xdr:rowOff>0</xdr:rowOff>
    </xdr:from>
    <xdr:to>
      <xdr:col>3</xdr:col>
      <xdr:colOff>257175</xdr:colOff>
      <xdr:row>182</xdr:row>
      <xdr:rowOff>0</xdr:rowOff>
    </xdr:to>
    <xdr:sp>
      <xdr:nvSpPr>
        <xdr:cNvPr id="58" name="Line 389"/>
        <xdr:cNvSpPr>
          <a:spLocks/>
        </xdr:cNvSpPr>
      </xdr:nvSpPr>
      <xdr:spPr>
        <a:xfrm>
          <a:off x="24098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182</xdr:row>
      <xdr:rowOff>0</xdr:rowOff>
    </xdr:from>
    <xdr:to>
      <xdr:col>4</xdr:col>
      <xdr:colOff>123825</xdr:colOff>
      <xdr:row>182</xdr:row>
      <xdr:rowOff>0</xdr:rowOff>
    </xdr:to>
    <xdr:sp>
      <xdr:nvSpPr>
        <xdr:cNvPr id="59" name="Line 390"/>
        <xdr:cNvSpPr>
          <a:spLocks/>
        </xdr:cNvSpPr>
      </xdr:nvSpPr>
      <xdr:spPr>
        <a:xfrm>
          <a:off x="29622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4</xdr:col>
      <xdr:colOff>390525</xdr:colOff>
      <xdr:row>182</xdr:row>
      <xdr:rowOff>0</xdr:rowOff>
    </xdr:to>
    <xdr:sp>
      <xdr:nvSpPr>
        <xdr:cNvPr id="60" name="Line 391"/>
        <xdr:cNvSpPr>
          <a:spLocks/>
        </xdr:cNvSpPr>
      </xdr:nvSpPr>
      <xdr:spPr>
        <a:xfrm>
          <a:off x="3228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182</xdr:row>
      <xdr:rowOff>0</xdr:rowOff>
    </xdr:from>
    <xdr:to>
      <xdr:col>5</xdr:col>
      <xdr:colOff>47625</xdr:colOff>
      <xdr:row>182</xdr:row>
      <xdr:rowOff>0</xdr:rowOff>
    </xdr:to>
    <xdr:sp>
      <xdr:nvSpPr>
        <xdr:cNvPr id="61" name="Line 392"/>
        <xdr:cNvSpPr>
          <a:spLocks/>
        </xdr:cNvSpPr>
      </xdr:nvSpPr>
      <xdr:spPr>
        <a:xfrm>
          <a:off x="35909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182</xdr:row>
      <xdr:rowOff>0</xdr:rowOff>
    </xdr:from>
    <xdr:to>
      <xdr:col>5</xdr:col>
      <xdr:colOff>304800</xdr:colOff>
      <xdr:row>182</xdr:row>
      <xdr:rowOff>0</xdr:rowOff>
    </xdr:to>
    <xdr:sp>
      <xdr:nvSpPr>
        <xdr:cNvPr id="62" name="Line 393"/>
        <xdr:cNvSpPr>
          <a:spLocks/>
        </xdr:cNvSpPr>
      </xdr:nvSpPr>
      <xdr:spPr>
        <a:xfrm>
          <a:off x="38481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63" name="Line 394"/>
        <xdr:cNvSpPr>
          <a:spLocks/>
        </xdr:cNvSpPr>
      </xdr:nvSpPr>
      <xdr:spPr>
        <a:xfrm>
          <a:off x="44672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182</xdr:row>
      <xdr:rowOff>0</xdr:rowOff>
    </xdr:from>
    <xdr:to>
      <xdr:col>6</xdr:col>
      <xdr:colOff>304800</xdr:colOff>
      <xdr:row>182</xdr:row>
      <xdr:rowOff>0</xdr:rowOff>
    </xdr:to>
    <xdr:sp>
      <xdr:nvSpPr>
        <xdr:cNvPr id="64" name="Line 395"/>
        <xdr:cNvSpPr>
          <a:spLocks/>
        </xdr:cNvSpPr>
      </xdr:nvSpPr>
      <xdr:spPr>
        <a:xfrm>
          <a:off x="47720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182</xdr:row>
      <xdr:rowOff>0</xdr:rowOff>
    </xdr:from>
    <xdr:to>
      <xdr:col>7</xdr:col>
      <xdr:colOff>0</xdr:colOff>
      <xdr:row>182</xdr:row>
      <xdr:rowOff>0</xdr:rowOff>
    </xdr:to>
    <xdr:sp>
      <xdr:nvSpPr>
        <xdr:cNvPr id="65" name="Line 396"/>
        <xdr:cNvSpPr>
          <a:spLocks/>
        </xdr:cNvSpPr>
      </xdr:nvSpPr>
      <xdr:spPr>
        <a:xfrm>
          <a:off x="5133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182</xdr:row>
      <xdr:rowOff>0</xdr:rowOff>
    </xdr:from>
    <xdr:to>
      <xdr:col>3</xdr:col>
      <xdr:colOff>514350</xdr:colOff>
      <xdr:row>182</xdr:row>
      <xdr:rowOff>0</xdr:rowOff>
    </xdr:to>
    <xdr:sp>
      <xdr:nvSpPr>
        <xdr:cNvPr id="66" name="Line 397"/>
        <xdr:cNvSpPr>
          <a:spLocks/>
        </xdr:cNvSpPr>
      </xdr:nvSpPr>
      <xdr:spPr>
        <a:xfrm>
          <a:off x="2667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182</xdr:row>
      <xdr:rowOff>0</xdr:rowOff>
    </xdr:from>
    <xdr:to>
      <xdr:col>3</xdr:col>
      <xdr:colOff>38100</xdr:colOff>
      <xdr:row>182</xdr:row>
      <xdr:rowOff>0</xdr:rowOff>
    </xdr:to>
    <xdr:sp>
      <xdr:nvSpPr>
        <xdr:cNvPr id="67" name="Line 398"/>
        <xdr:cNvSpPr>
          <a:spLocks/>
        </xdr:cNvSpPr>
      </xdr:nvSpPr>
      <xdr:spPr>
        <a:xfrm>
          <a:off x="21907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>
      <xdr:nvSpPr>
        <xdr:cNvPr id="68" name="Line 399"/>
        <xdr:cNvSpPr>
          <a:spLocks/>
        </xdr:cNvSpPr>
      </xdr:nvSpPr>
      <xdr:spPr>
        <a:xfrm>
          <a:off x="13144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182</xdr:row>
      <xdr:rowOff>0</xdr:rowOff>
    </xdr:from>
    <xdr:to>
      <xdr:col>2</xdr:col>
      <xdr:colOff>209550</xdr:colOff>
      <xdr:row>182</xdr:row>
      <xdr:rowOff>0</xdr:rowOff>
    </xdr:to>
    <xdr:sp>
      <xdr:nvSpPr>
        <xdr:cNvPr id="69" name="Line 400"/>
        <xdr:cNvSpPr>
          <a:spLocks/>
        </xdr:cNvSpPr>
      </xdr:nvSpPr>
      <xdr:spPr>
        <a:xfrm>
          <a:off x="1524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70" name="Line 403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71" name="Line 404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72" name="Line 405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73" name="Line 409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657225</xdr:colOff>
      <xdr:row>182</xdr:row>
      <xdr:rowOff>0</xdr:rowOff>
    </xdr:from>
    <xdr:to>
      <xdr:col>5</xdr:col>
      <xdr:colOff>38100</xdr:colOff>
      <xdr:row>182</xdr:row>
      <xdr:rowOff>0</xdr:rowOff>
    </xdr:to>
    <xdr:sp>
      <xdr:nvSpPr>
        <xdr:cNvPr id="74" name="Line 413"/>
        <xdr:cNvSpPr>
          <a:spLocks/>
        </xdr:cNvSpPr>
      </xdr:nvSpPr>
      <xdr:spPr>
        <a:xfrm flipH="1">
          <a:off x="3495675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75" name="Line 451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76" name="Line 452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77" name="Line 453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78" name="Line 457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657225</xdr:colOff>
      <xdr:row>182</xdr:row>
      <xdr:rowOff>0</xdr:rowOff>
    </xdr:from>
    <xdr:to>
      <xdr:col>5</xdr:col>
      <xdr:colOff>38100</xdr:colOff>
      <xdr:row>182</xdr:row>
      <xdr:rowOff>0</xdr:rowOff>
    </xdr:to>
    <xdr:sp>
      <xdr:nvSpPr>
        <xdr:cNvPr id="79" name="Line 461"/>
        <xdr:cNvSpPr>
          <a:spLocks/>
        </xdr:cNvSpPr>
      </xdr:nvSpPr>
      <xdr:spPr>
        <a:xfrm flipH="1">
          <a:off x="3495675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80" name="Line 465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81" name="Line 466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82" name="Line 467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83" name="Line 471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657225</xdr:colOff>
      <xdr:row>182</xdr:row>
      <xdr:rowOff>0</xdr:rowOff>
    </xdr:from>
    <xdr:to>
      <xdr:col>5</xdr:col>
      <xdr:colOff>38100</xdr:colOff>
      <xdr:row>182</xdr:row>
      <xdr:rowOff>0</xdr:rowOff>
    </xdr:to>
    <xdr:sp>
      <xdr:nvSpPr>
        <xdr:cNvPr id="84" name="Line 475"/>
        <xdr:cNvSpPr>
          <a:spLocks/>
        </xdr:cNvSpPr>
      </xdr:nvSpPr>
      <xdr:spPr>
        <a:xfrm flipH="1">
          <a:off x="3495675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85" name="Line 478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86" name="Line 479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87" name="Line 481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88" name="Rectangle 483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89" name="Drawing 265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90" name="Line 486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91" name="Rectangle 488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92" name="Drawing 270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93" name="Line 490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94" name="Line 491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95" name="Line 493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96" name="Rectangle 495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97" name="Drawing 265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98" name="Line 498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99" name="Rectangle 500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100" name="Drawing 270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12</xdr:col>
      <xdr:colOff>76200</xdr:colOff>
      <xdr:row>182</xdr:row>
      <xdr:rowOff>0</xdr:rowOff>
    </xdr:to>
    <xdr:graphicFrame>
      <xdr:nvGraphicFramePr>
        <xdr:cNvPr id="101" name="Chart 502"/>
        <xdr:cNvGraphicFramePr/>
      </xdr:nvGraphicFramePr>
      <xdr:xfrm>
        <a:off x="3228975" y="27632025"/>
        <a:ext cx="5248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438150</xdr:colOff>
      <xdr:row>182</xdr:row>
      <xdr:rowOff>0</xdr:rowOff>
    </xdr:from>
    <xdr:to>
      <xdr:col>2</xdr:col>
      <xdr:colOff>438150</xdr:colOff>
      <xdr:row>182</xdr:row>
      <xdr:rowOff>0</xdr:rowOff>
    </xdr:to>
    <xdr:sp>
      <xdr:nvSpPr>
        <xdr:cNvPr id="102" name="Line 504"/>
        <xdr:cNvSpPr>
          <a:spLocks/>
        </xdr:cNvSpPr>
      </xdr:nvSpPr>
      <xdr:spPr>
        <a:xfrm>
          <a:off x="17526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182</xdr:row>
      <xdr:rowOff>0</xdr:rowOff>
    </xdr:from>
    <xdr:to>
      <xdr:col>2</xdr:col>
      <xdr:colOff>638175</xdr:colOff>
      <xdr:row>182</xdr:row>
      <xdr:rowOff>0</xdr:rowOff>
    </xdr:to>
    <xdr:sp>
      <xdr:nvSpPr>
        <xdr:cNvPr id="103" name="Line 505"/>
        <xdr:cNvSpPr>
          <a:spLocks/>
        </xdr:cNvSpPr>
      </xdr:nvSpPr>
      <xdr:spPr>
        <a:xfrm>
          <a:off x="19526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182</xdr:row>
      <xdr:rowOff>0</xdr:rowOff>
    </xdr:from>
    <xdr:to>
      <xdr:col>3</xdr:col>
      <xdr:colOff>257175</xdr:colOff>
      <xdr:row>182</xdr:row>
      <xdr:rowOff>0</xdr:rowOff>
    </xdr:to>
    <xdr:sp>
      <xdr:nvSpPr>
        <xdr:cNvPr id="104" name="Line 506"/>
        <xdr:cNvSpPr>
          <a:spLocks/>
        </xdr:cNvSpPr>
      </xdr:nvSpPr>
      <xdr:spPr>
        <a:xfrm>
          <a:off x="24098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182</xdr:row>
      <xdr:rowOff>0</xdr:rowOff>
    </xdr:from>
    <xdr:to>
      <xdr:col>4</xdr:col>
      <xdr:colOff>123825</xdr:colOff>
      <xdr:row>182</xdr:row>
      <xdr:rowOff>0</xdr:rowOff>
    </xdr:to>
    <xdr:sp>
      <xdr:nvSpPr>
        <xdr:cNvPr id="105" name="Line 507"/>
        <xdr:cNvSpPr>
          <a:spLocks/>
        </xdr:cNvSpPr>
      </xdr:nvSpPr>
      <xdr:spPr>
        <a:xfrm>
          <a:off x="29622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182</xdr:row>
      <xdr:rowOff>0</xdr:rowOff>
    </xdr:from>
    <xdr:to>
      <xdr:col>4</xdr:col>
      <xdr:colOff>390525</xdr:colOff>
      <xdr:row>182</xdr:row>
      <xdr:rowOff>0</xdr:rowOff>
    </xdr:to>
    <xdr:sp>
      <xdr:nvSpPr>
        <xdr:cNvPr id="106" name="Line 508"/>
        <xdr:cNvSpPr>
          <a:spLocks/>
        </xdr:cNvSpPr>
      </xdr:nvSpPr>
      <xdr:spPr>
        <a:xfrm>
          <a:off x="3228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182</xdr:row>
      <xdr:rowOff>0</xdr:rowOff>
    </xdr:from>
    <xdr:to>
      <xdr:col>5</xdr:col>
      <xdr:colOff>47625</xdr:colOff>
      <xdr:row>182</xdr:row>
      <xdr:rowOff>0</xdr:rowOff>
    </xdr:to>
    <xdr:sp>
      <xdr:nvSpPr>
        <xdr:cNvPr id="107" name="Line 509"/>
        <xdr:cNvSpPr>
          <a:spLocks/>
        </xdr:cNvSpPr>
      </xdr:nvSpPr>
      <xdr:spPr>
        <a:xfrm>
          <a:off x="35909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182</xdr:row>
      <xdr:rowOff>0</xdr:rowOff>
    </xdr:from>
    <xdr:to>
      <xdr:col>5</xdr:col>
      <xdr:colOff>304800</xdr:colOff>
      <xdr:row>182</xdr:row>
      <xdr:rowOff>0</xdr:rowOff>
    </xdr:to>
    <xdr:sp>
      <xdr:nvSpPr>
        <xdr:cNvPr id="108" name="Line 510"/>
        <xdr:cNvSpPr>
          <a:spLocks/>
        </xdr:cNvSpPr>
      </xdr:nvSpPr>
      <xdr:spPr>
        <a:xfrm>
          <a:off x="38481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109" name="Line 511"/>
        <xdr:cNvSpPr>
          <a:spLocks/>
        </xdr:cNvSpPr>
      </xdr:nvSpPr>
      <xdr:spPr>
        <a:xfrm>
          <a:off x="44672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182</xdr:row>
      <xdr:rowOff>0</xdr:rowOff>
    </xdr:from>
    <xdr:to>
      <xdr:col>6</xdr:col>
      <xdr:colOff>304800</xdr:colOff>
      <xdr:row>182</xdr:row>
      <xdr:rowOff>0</xdr:rowOff>
    </xdr:to>
    <xdr:sp>
      <xdr:nvSpPr>
        <xdr:cNvPr id="110" name="Line 512"/>
        <xdr:cNvSpPr>
          <a:spLocks/>
        </xdr:cNvSpPr>
      </xdr:nvSpPr>
      <xdr:spPr>
        <a:xfrm>
          <a:off x="477202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182</xdr:row>
      <xdr:rowOff>0</xdr:rowOff>
    </xdr:from>
    <xdr:to>
      <xdr:col>7</xdr:col>
      <xdr:colOff>0</xdr:colOff>
      <xdr:row>182</xdr:row>
      <xdr:rowOff>0</xdr:rowOff>
    </xdr:to>
    <xdr:sp>
      <xdr:nvSpPr>
        <xdr:cNvPr id="111" name="Line 513"/>
        <xdr:cNvSpPr>
          <a:spLocks/>
        </xdr:cNvSpPr>
      </xdr:nvSpPr>
      <xdr:spPr>
        <a:xfrm>
          <a:off x="5133975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182</xdr:row>
      <xdr:rowOff>0</xdr:rowOff>
    </xdr:from>
    <xdr:to>
      <xdr:col>3</xdr:col>
      <xdr:colOff>514350</xdr:colOff>
      <xdr:row>182</xdr:row>
      <xdr:rowOff>0</xdr:rowOff>
    </xdr:to>
    <xdr:sp>
      <xdr:nvSpPr>
        <xdr:cNvPr id="112" name="Line 514"/>
        <xdr:cNvSpPr>
          <a:spLocks/>
        </xdr:cNvSpPr>
      </xdr:nvSpPr>
      <xdr:spPr>
        <a:xfrm>
          <a:off x="2667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182</xdr:row>
      <xdr:rowOff>0</xdr:rowOff>
    </xdr:from>
    <xdr:to>
      <xdr:col>3</xdr:col>
      <xdr:colOff>38100</xdr:colOff>
      <xdr:row>182</xdr:row>
      <xdr:rowOff>0</xdr:rowOff>
    </xdr:to>
    <xdr:sp>
      <xdr:nvSpPr>
        <xdr:cNvPr id="113" name="Line 515"/>
        <xdr:cNvSpPr>
          <a:spLocks/>
        </xdr:cNvSpPr>
      </xdr:nvSpPr>
      <xdr:spPr>
        <a:xfrm>
          <a:off x="21907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0</xdr:rowOff>
    </xdr:from>
    <xdr:to>
      <xdr:col>2</xdr:col>
      <xdr:colOff>0</xdr:colOff>
      <xdr:row>182</xdr:row>
      <xdr:rowOff>0</xdr:rowOff>
    </xdr:to>
    <xdr:sp>
      <xdr:nvSpPr>
        <xdr:cNvPr id="114" name="Line 516"/>
        <xdr:cNvSpPr>
          <a:spLocks/>
        </xdr:cNvSpPr>
      </xdr:nvSpPr>
      <xdr:spPr>
        <a:xfrm>
          <a:off x="131445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182</xdr:row>
      <xdr:rowOff>0</xdr:rowOff>
    </xdr:from>
    <xdr:to>
      <xdr:col>2</xdr:col>
      <xdr:colOff>209550</xdr:colOff>
      <xdr:row>182</xdr:row>
      <xdr:rowOff>0</xdr:rowOff>
    </xdr:to>
    <xdr:sp>
      <xdr:nvSpPr>
        <xdr:cNvPr id="115" name="Line 517"/>
        <xdr:cNvSpPr>
          <a:spLocks/>
        </xdr:cNvSpPr>
      </xdr:nvSpPr>
      <xdr:spPr>
        <a:xfrm>
          <a:off x="1524000" y="2763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116" name="Line 520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117" name="Line 521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118" name="Line 522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19050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119" name="Rectangle 524"/>
        <xdr:cNvSpPr>
          <a:spLocks/>
        </xdr:cNvSpPr>
      </xdr:nvSpPr>
      <xdr:spPr>
        <a:xfrm>
          <a:off x="3562350" y="27632025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120" name="Line 525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182</xdr:row>
      <xdr:rowOff>0</xdr:rowOff>
    </xdr:from>
    <xdr:to>
      <xdr:col>2</xdr:col>
      <xdr:colOff>47625</xdr:colOff>
      <xdr:row>182</xdr:row>
      <xdr:rowOff>0</xdr:rowOff>
    </xdr:to>
    <xdr:sp>
      <xdr:nvSpPr>
        <xdr:cNvPr id="121" name="Line 527"/>
        <xdr:cNvSpPr>
          <a:spLocks/>
        </xdr:cNvSpPr>
      </xdr:nvSpPr>
      <xdr:spPr>
        <a:xfrm flipH="1">
          <a:off x="1276350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809625</xdr:colOff>
      <xdr:row>182</xdr:row>
      <xdr:rowOff>0</xdr:rowOff>
    </xdr:from>
    <xdr:to>
      <xdr:col>3</xdr:col>
      <xdr:colOff>57150</xdr:colOff>
      <xdr:row>182</xdr:row>
      <xdr:rowOff>0</xdr:rowOff>
    </xdr:to>
    <xdr:sp>
      <xdr:nvSpPr>
        <xdr:cNvPr id="122" name="Line 551"/>
        <xdr:cNvSpPr>
          <a:spLocks/>
        </xdr:cNvSpPr>
      </xdr:nvSpPr>
      <xdr:spPr>
        <a:xfrm flipH="1">
          <a:off x="2124075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666750</xdr:colOff>
      <xdr:row>182</xdr:row>
      <xdr:rowOff>0</xdr:rowOff>
    </xdr:from>
    <xdr:to>
      <xdr:col>5</xdr:col>
      <xdr:colOff>66675</xdr:colOff>
      <xdr:row>182</xdr:row>
      <xdr:rowOff>0</xdr:rowOff>
    </xdr:to>
    <xdr:sp>
      <xdr:nvSpPr>
        <xdr:cNvPr id="123" name="Line 553"/>
        <xdr:cNvSpPr>
          <a:spLocks/>
        </xdr:cNvSpPr>
      </xdr:nvSpPr>
      <xdr:spPr>
        <a:xfrm flipH="1">
          <a:off x="3505200" y="2763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124" name="Line 555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125" name="Line 556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126" name="Line 557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19050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127" name="Rectangle 559"/>
        <xdr:cNvSpPr>
          <a:spLocks/>
        </xdr:cNvSpPr>
      </xdr:nvSpPr>
      <xdr:spPr>
        <a:xfrm>
          <a:off x="3562350" y="27632025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128" name="Line 560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809625</xdr:colOff>
      <xdr:row>182</xdr:row>
      <xdr:rowOff>0</xdr:rowOff>
    </xdr:from>
    <xdr:to>
      <xdr:col>3</xdr:col>
      <xdr:colOff>57150</xdr:colOff>
      <xdr:row>182</xdr:row>
      <xdr:rowOff>0</xdr:rowOff>
    </xdr:to>
    <xdr:sp>
      <xdr:nvSpPr>
        <xdr:cNvPr id="129" name="Line 564"/>
        <xdr:cNvSpPr>
          <a:spLocks/>
        </xdr:cNvSpPr>
      </xdr:nvSpPr>
      <xdr:spPr>
        <a:xfrm flipH="1">
          <a:off x="2124075" y="27632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666750</xdr:colOff>
      <xdr:row>182</xdr:row>
      <xdr:rowOff>0</xdr:rowOff>
    </xdr:from>
    <xdr:to>
      <xdr:col>5</xdr:col>
      <xdr:colOff>66675</xdr:colOff>
      <xdr:row>182</xdr:row>
      <xdr:rowOff>0</xdr:rowOff>
    </xdr:to>
    <xdr:sp>
      <xdr:nvSpPr>
        <xdr:cNvPr id="130" name="Line 566"/>
        <xdr:cNvSpPr>
          <a:spLocks/>
        </xdr:cNvSpPr>
      </xdr:nvSpPr>
      <xdr:spPr>
        <a:xfrm flipH="1">
          <a:off x="3505200" y="2763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182</xdr:row>
      <xdr:rowOff>0</xdr:rowOff>
    </xdr:from>
    <xdr:to>
      <xdr:col>6</xdr:col>
      <xdr:colOff>28575</xdr:colOff>
      <xdr:row>182</xdr:row>
      <xdr:rowOff>0</xdr:rowOff>
    </xdr:to>
    <xdr:sp>
      <xdr:nvSpPr>
        <xdr:cNvPr id="131" name="Line 568"/>
        <xdr:cNvSpPr>
          <a:spLocks/>
        </xdr:cNvSpPr>
      </xdr:nvSpPr>
      <xdr:spPr>
        <a:xfrm flipH="1">
          <a:off x="4133850" y="27632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182</xdr:row>
      <xdr:rowOff>0</xdr:rowOff>
    </xdr:from>
    <xdr:to>
      <xdr:col>6</xdr:col>
      <xdr:colOff>152400</xdr:colOff>
      <xdr:row>182</xdr:row>
      <xdr:rowOff>0</xdr:rowOff>
    </xdr:to>
    <xdr:sp>
      <xdr:nvSpPr>
        <xdr:cNvPr id="132" name="Line 569"/>
        <xdr:cNvSpPr>
          <a:spLocks/>
        </xdr:cNvSpPr>
      </xdr:nvSpPr>
      <xdr:spPr>
        <a:xfrm>
          <a:off x="4114800" y="276320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182</xdr:row>
      <xdr:rowOff>0</xdr:rowOff>
    </xdr:from>
    <xdr:to>
      <xdr:col>6</xdr:col>
      <xdr:colOff>161925</xdr:colOff>
      <xdr:row>182</xdr:row>
      <xdr:rowOff>0</xdr:rowOff>
    </xdr:to>
    <xdr:sp>
      <xdr:nvSpPr>
        <xdr:cNvPr id="133" name="Line 570"/>
        <xdr:cNvSpPr>
          <a:spLocks/>
        </xdr:cNvSpPr>
      </xdr:nvSpPr>
      <xdr:spPr>
        <a:xfrm>
          <a:off x="4467225" y="27632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19050</xdr:colOff>
      <xdr:row>182</xdr:row>
      <xdr:rowOff>0</xdr:rowOff>
    </xdr:from>
    <xdr:to>
      <xdr:col>6</xdr:col>
      <xdr:colOff>0</xdr:colOff>
      <xdr:row>182</xdr:row>
      <xdr:rowOff>0</xdr:rowOff>
    </xdr:to>
    <xdr:sp>
      <xdr:nvSpPr>
        <xdr:cNvPr id="134" name="Rectangle 572"/>
        <xdr:cNvSpPr>
          <a:spLocks/>
        </xdr:cNvSpPr>
      </xdr:nvSpPr>
      <xdr:spPr>
        <a:xfrm>
          <a:off x="3562350" y="27632025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182</xdr:row>
      <xdr:rowOff>0</xdr:rowOff>
    </xdr:from>
    <xdr:to>
      <xdr:col>6</xdr:col>
      <xdr:colOff>57150</xdr:colOff>
      <xdr:row>182</xdr:row>
      <xdr:rowOff>0</xdr:rowOff>
    </xdr:to>
    <xdr:sp>
      <xdr:nvSpPr>
        <xdr:cNvPr id="135" name="Line 573"/>
        <xdr:cNvSpPr>
          <a:spLocks/>
        </xdr:cNvSpPr>
      </xdr:nvSpPr>
      <xdr:spPr>
        <a:xfrm flipH="1">
          <a:off x="4210050" y="27632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666750</xdr:colOff>
      <xdr:row>182</xdr:row>
      <xdr:rowOff>0</xdr:rowOff>
    </xdr:from>
    <xdr:to>
      <xdr:col>5</xdr:col>
      <xdr:colOff>66675</xdr:colOff>
      <xdr:row>182</xdr:row>
      <xdr:rowOff>0</xdr:rowOff>
    </xdr:to>
    <xdr:sp>
      <xdr:nvSpPr>
        <xdr:cNvPr id="136" name="Line 579"/>
        <xdr:cNvSpPr>
          <a:spLocks/>
        </xdr:cNvSpPr>
      </xdr:nvSpPr>
      <xdr:spPr>
        <a:xfrm flipH="1">
          <a:off x="3505200" y="27632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12</xdr:col>
      <xdr:colOff>76200</xdr:colOff>
      <xdr:row>183</xdr:row>
      <xdr:rowOff>0</xdr:rowOff>
    </xdr:to>
    <xdr:graphicFrame>
      <xdr:nvGraphicFramePr>
        <xdr:cNvPr id="137" name="Chart 580"/>
        <xdr:cNvGraphicFramePr/>
      </xdr:nvGraphicFramePr>
      <xdr:xfrm>
        <a:off x="3228975" y="27803475"/>
        <a:ext cx="5248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38" name="Line 581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438150</xdr:colOff>
      <xdr:row>183</xdr:row>
      <xdr:rowOff>0</xdr:rowOff>
    </xdr:from>
    <xdr:to>
      <xdr:col>2</xdr:col>
      <xdr:colOff>438150</xdr:colOff>
      <xdr:row>183</xdr:row>
      <xdr:rowOff>0</xdr:rowOff>
    </xdr:to>
    <xdr:sp>
      <xdr:nvSpPr>
        <xdr:cNvPr id="139" name="Line 582"/>
        <xdr:cNvSpPr>
          <a:spLocks/>
        </xdr:cNvSpPr>
      </xdr:nvSpPr>
      <xdr:spPr>
        <a:xfrm>
          <a:off x="17526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183</xdr:row>
      <xdr:rowOff>0</xdr:rowOff>
    </xdr:from>
    <xdr:to>
      <xdr:col>2</xdr:col>
      <xdr:colOff>638175</xdr:colOff>
      <xdr:row>183</xdr:row>
      <xdr:rowOff>0</xdr:rowOff>
    </xdr:to>
    <xdr:sp>
      <xdr:nvSpPr>
        <xdr:cNvPr id="140" name="Line 583"/>
        <xdr:cNvSpPr>
          <a:spLocks/>
        </xdr:cNvSpPr>
      </xdr:nvSpPr>
      <xdr:spPr>
        <a:xfrm>
          <a:off x="19526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183</xdr:row>
      <xdr:rowOff>0</xdr:rowOff>
    </xdr:from>
    <xdr:to>
      <xdr:col>3</xdr:col>
      <xdr:colOff>257175</xdr:colOff>
      <xdr:row>183</xdr:row>
      <xdr:rowOff>0</xdr:rowOff>
    </xdr:to>
    <xdr:sp>
      <xdr:nvSpPr>
        <xdr:cNvPr id="141" name="Line 584"/>
        <xdr:cNvSpPr>
          <a:spLocks/>
        </xdr:cNvSpPr>
      </xdr:nvSpPr>
      <xdr:spPr>
        <a:xfrm>
          <a:off x="24098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183</xdr:row>
      <xdr:rowOff>0</xdr:rowOff>
    </xdr:from>
    <xdr:to>
      <xdr:col>4</xdr:col>
      <xdr:colOff>123825</xdr:colOff>
      <xdr:row>183</xdr:row>
      <xdr:rowOff>0</xdr:rowOff>
    </xdr:to>
    <xdr:sp>
      <xdr:nvSpPr>
        <xdr:cNvPr id="142" name="Line 585"/>
        <xdr:cNvSpPr>
          <a:spLocks/>
        </xdr:cNvSpPr>
      </xdr:nvSpPr>
      <xdr:spPr>
        <a:xfrm>
          <a:off x="29622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4</xdr:col>
      <xdr:colOff>390525</xdr:colOff>
      <xdr:row>183</xdr:row>
      <xdr:rowOff>0</xdr:rowOff>
    </xdr:to>
    <xdr:sp>
      <xdr:nvSpPr>
        <xdr:cNvPr id="143" name="Line 586"/>
        <xdr:cNvSpPr>
          <a:spLocks/>
        </xdr:cNvSpPr>
      </xdr:nvSpPr>
      <xdr:spPr>
        <a:xfrm>
          <a:off x="3228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183</xdr:row>
      <xdr:rowOff>0</xdr:rowOff>
    </xdr:from>
    <xdr:to>
      <xdr:col>5</xdr:col>
      <xdr:colOff>47625</xdr:colOff>
      <xdr:row>183</xdr:row>
      <xdr:rowOff>0</xdr:rowOff>
    </xdr:to>
    <xdr:sp>
      <xdr:nvSpPr>
        <xdr:cNvPr id="144" name="Line 587"/>
        <xdr:cNvSpPr>
          <a:spLocks/>
        </xdr:cNvSpPr>
      </xdr:nvSpPr>
      <xdr:spPr>
        <a:xfrm>
          <a:off x="3590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183</xdr:row>
      <xdr:rowOff>0</xdr:rowOff>
    </xdr:from>
    <xdr:to>
      <xdr:col>5</xdr:col>
      <xdr:colOff>304800</xdr:colOff>
      <xdr:row>183</xdr:row>
      <xdr:rowOff>0</xdr:rowOff>
    </xdr:to>
    <xdr:sp>
      <xdr:nvSpPr>
        <xdr:cNvPr id="145" name="Line 588"/>
        <xdr:cNvSpPr>
          <a:spLocks/>
        </xdr:cNvSpPr>
      </xdr:nvSpPr>
      <xdr:spPr>
        <a:xfrm>
          <a:off x="38481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146" name="Line 589"/>
        <xdr:cNvSpPr>
          <a:spLocks/>
        </xdr:cNvSpPr>
      </xdr:nvSpPr>
      <xdr:spPr>
        <a:xfrm>
          <a:off x="44672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183</xdr:row>
      <xdr:rowOff>0</xdr:rowOff>
    </xdr:from>
    <xdr:to>
      <xdr:col>6</xdr:col>
      <xdr:colOff>304800</xdr:colOff>
      <xdr:row>183</xdr:row>
      <xdr:rowOff>0</xdr:rowOff>
    </xdr:to>
    <xdr:sp>
      <xdr:nvSpPr>
        <xdr:cNvPr id="147" name="Line 590"/>
        <xdr:cNvSpPr>
          <a:spLocks/>
        </xdr:cNvSpPr>
      </xdr:nvSpPr>
      <xdr:spPr>
        <a:xfrm>
          <a:off x="47720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48" name="Line 591"/>
        <xdr:cNvSpPr>
          <a:spLocks/>
        </xdr:cNvSpPr>
      </xdr:nvSpPr>
      <xdr:spPr>
        <a:xfrm>
          <a:off x="5133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183</xdr:row>
      <xdr:rowOff>0</xdr:rowOff>
    </xdr:from>
    <xdr:to>
      <xdr:col>3</xdr:col>
      <xdr:colOff>514350</xdr:colOff>
      <xdr:row>183</xdr:row>
      <xdr:rowOff>0</xdr:rowOff>
    </xdr:to>
    <xdr:sp>
      <xdr:nvSpPr>
        <xdr:cNvPr id="149" name="Line 592"/>
        <xdr:cNvSpPr>
          <a:spLocks/>
        </xdr:cNvSpPr>
      </xdr:nvSpPr>
      <xdr:spPr>
        <a:xfrm>
          <a:off x="2667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183</xdr:row>
      <xdr:rowOff>0</xdr:rowOff>
    </xdr:from>
    <xdr:to>
      <xdr:col>3</xdr:col>
      <xdr:colOff>38100</xdr:colOff>
      <xdr:row>183</xdr:row>
      <xdr:rowOff>0</xdr:rowOff>
    </xdr:to>
    <xdr:sp>
      <xdr:nvSpPr>
        <xdr:cNvPr id="150" name="Line 593"/>
        <xdr:cNvSpPr>
          <a:spLocks/>
        </xdr:cNvSpPr>
      </xdr:nvSpPr>
      <xdr:spPr>
        <a:xfrm>
          <a:off x="21907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151" name="Line 594"/>
        <xdr:cNvSpPr>
          <a:spLocks/>
        </xdr:cNvSpPr>
      </xdr:nvSpPr>
      <xdr:spPr>
        <a:xfrm>
          <a:off x="13144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183</xdr:row>
      <xdr:rowOff>0</xdr:rowOff>
    </xdr:from>
    <xdr:to>
      <xdr:col>2</xdr:col>
      <xdr:colOff>209550</xdr:colOff>
      <xdr:row>183</xdr:row>
      <xdr:rowOff>0</xdr:rowOff>
    </xdr:to>
    <xdr:sp>
      <xdr:nvSpPr>
        <xdr:cNvPr id="152" name="Line 595"/>
        <xdr:cNvSpPr>
          <a:spLocks/>
        </xdr:cNvSpPr>
      </xdr:nvSpPr>
      <xdr:spPr>
        <a:xfrm>
          <a:off x="1524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53" name="Line 596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12</xdr:col>
      <xdr:colOff>76200</xdr:colOff>
      <xdr:row>183</xdr:row>
      <xdr:rowOff>0</xdr:rowOff>
    </xdr:to>
    <xdr:graphicFrame>
      <xdr:nvGraphicFramePr>
        <xdr:cNvPr id="154" name="Chart 648"/>
        <xdr:cNvGraphicFramePr/>
      </xdr:nvGraphicFramePr>
      <xdr:xfrm>
        <a:off x="3228975" y="27803475"/>
        <a:ext cx="5248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55" name="Line 649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438150</xdr:colOff>
      <xdr:row>183</xdr:row>
      <xdr:rowOff>0</xdr:rowOff>
    </xdr:from>
    <xdr:to>
      <xdr:col>2</xdr:col>
      <xdr:colOff>438150</xdr:colOff>
      <xdr:row>183</xdr:row>
      <xdr:rowOff>0</xdr:rowOff>
    </xdr:to>
    <xdr:sp>
      <xdr:nvSpPr>
        <xdr:cNvPr id="156" name="Line 650"/>
        <xdr:cNvSpPr>
          <a:spLocks/>
        </xdr:cNvSpPr>
      </xdr:nvSpPr>
      <xdr:spPr>
        <a:xfrm>
          <a:off x="17526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183</xdr:row>
      <xdr:rowOff>0</xdr:rowOff>
    </xdr:from>
    <xdr:to>
      <xdr:col>2</xdr:col>
      <xdr:colOff>638175</xdr:colOff>
      <xdr:row>183</xdr:row>
      <xdr:rowOff>0</xdr:rowOff>
    </xdr:to>
    <xdr:sp>
      <xdr:nvSpPr>
        <xdr:cNvPr id="157" name="Line 651"/>
        <xdr:cNvSpPr>
          <a:spLocks/>
        </xdr:cNvSpPr>
      </xdr:nvSpPr>
      <xdr:spPr>
        <a:xfrm>
          <a:off x="19526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183</xdr:row>
      <xdr:rowOff>0</xdr:rowOff>
    </xdr:from>
    <xdr:to>
      <xdr:col>3</xdr:col>
      <xdr:colOff>257175</xdr:colOff>
      <xdr:row>183</xdr:row>
      <xdr:rowOff>0</xdr:rowOff>
    </xdr:to>
    <xdr:sp>
      <xdr:nvSpPr>
        <xdr:cNvPr id="158" name="Line 652"/>
        <xdr:cNvSpPr>
          <a:spLocks/>
        </xdr:cNvSpPr>
      </xdr:nvSpPr>
      <xdr:spPr>
        <a:xfrm>
          <a:off x="24098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183</xdr:row>
      <xdr:rowOff>0</xdr:rowOff>
    </xdr:from>
    <xdr:to>
      <xdr:col>4</xdr:col>
      <xdr:colOff>123825</xdr:colOff>
      <xdr:row>183</xdr:row>
      <xdr:rowOff>0</xdr:rowOff>
    </xdr:to>
    <xdr:sp>
      <xdr:nvSpPr>
        <xdr:cNvPr id="159" name="Line 653"/>
        <xdr:cNvSpPr>
          <a:spLocks/>
        </xdr:cNvSpPr>
      </xdr:nvSpPr>
      <xdr:spPr>
        <a:xfrm>
          <a:off x="29622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4</xdr:col>
      <xdr:colOff>390525</xdr:colOff>
      <xdr:row>183</xdr:row>
      <xdr:rowOff>0</xdr:rowOff>
    </xdr:to>
    <xdr:sp>
      <xdr:nvSpPr>
        <xdr:cNvPr id="160" name="Line 654"/>
        <xdr:cNvSpPr>
          <a:spLocks/>
        </xdr:cNvSpPr>
      </xdr:nvSpPr>
      <xdr:spPr>
        <a:xfrm>
          <a:off x="3228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183</xdr:row>
      <xdr:rowOff>0</xdr:rowOff>
    </xdr:from>
    <xdr:to>
      <xdr:col>5</xdr:col>
      <xdr:colOff>47625</xdr:colOff>
      <xdr:row>183</xdr:row>
      <xdr:rowOff>0</xdr:rowOff>
    </xdr:to>
    <xdr:sp>
      <xdr:nvSpPr>
        <xdr:cNvPr id="161" name="Line 655"/>
        <xdr:cNvSpPr>
          <a:spLocks/>
        </xdr:cNvSpPr>
      </xdr:nvSpPr>
      <xdr:spPr>
        <a:xfrm>
          <a:off x="3590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183</xdr:row>
      <xdr:rowOff>0</xdr:rowOff>
    </xdr:from>
    <xdr:to>
      <xdr:col>5</xdr:col>
      <xdr:colOff>304800</xdr:colOff>
      <xdr:row>183</xdr:row>
      <xdr:rowOff>0</xdr:rowOff>
    </xdr:to>
    <xdr:sp>
      <xdr:nvSpPr>
        <xdr:cNvPr id="162" name="Line 656"/>
        <xdr:cNvSpPr>
          <a:spLocks/>
        </xdr:cNvSpPr>
      </xdr:nvSpPr>
      <xdr:spPr>
        <a:xfrm>
          <a:off x="38481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163" name="Line 657"/>
        <xdr:cNvSpPr>
          <a:spLocks/>
        </xdr:cNvSpPr>
      </xdr:nvSpPr>
      <xdr:spPr>
        <a:xfrm>
          <a:off x="44672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183</xdr:row>
      <xdr:rowOff>0</xdr:rowOff>
    </xdr:from>
    <xdr:to>
      <xdr:col>6</xdr:col>
      <xdr:colOff>304800</xdr:colOff>
      <xdr:row>183</xdr:row>
      <xdr:rowOff>0</xdr:rowOff>
    </xdr:to>
    <xdr:sp>
      <xdr:nvSpPr>
        <xdr:cNvPr id="164" name="Line 658"/>
        <xdr:cNvSpPr>
          <a:spLocks/>
        </xdr:cNvSpPr>
      </xdr:nvSpPr>
      <xdr:spPr>
        <a:xfrm>
          <a:off x="47720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65" name="Line 659"/>
        <xdr:cNvSpPr>
          <a:spLocks/>
        </xdr:cNvSpPr>
      </xdr:nvSpPr>
      <xdr:spPr>
        <a:xfrm>
          <a:off x="5133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183</xdr:row>
      <xdr:rowOff>0</xdr:rowOff>
    </xdr:from>
    <xdr:to>
      <xdr:col>3</xdr:col>
      <xdr:colOff>514350</xdr:colOff>
      <xdr:row>183</xdr:row>
      <xdr:rowOff>0</xdr:rowOff>
    </xdr:to>
    <xdr:sp>
      <xdr:nvSpPr>
        <xdr:cNvPr id="166" name="Line 660"/>
        <xdr:cNvSpPr>
          <a:spLocks/>
        </xdr:cNvSpPr>
      </xdr:nvSpPr>
      <xdr:spPr>
        <a:xfrm>
          <a:off x="2667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183</xdr:row>
      <xdr:rowOff>0</xdr:rowOff>
    </xdr:from>
    <xdr:to>
      <xdr:col>3</xdr:col>
      <xdr:colOff>38100</xdr:colOff>
      <xdr:row>183</xdr:row>
      <xdr:rowOff>0</xdr:rowOff>
    </xdr:to>
    <xdr:sp>
      <xdr:nvSpPr>
        <xdr:cNvPr id="167" name="Line 661"/>
        <xdr:cNvSpPr>
          <a:spLocks/>
        </xdr:cNvSpPr>
      </xdr:nvSpPr>
      <xdr:spPr>
        <a:xfrm>
          <a:off x="21907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168" name="Line 662"/>
        <xdr:cNvSpPr>
          <a:spLocks/>
        </xdr:cNvSpPr>
      </xdr:nvSpPr>
      <xdr:spPr>
        <a:xfrm>
          <a:off x="13144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183</xdr:row>
      <xdr:rowOff>0</xdr:rowOff>
    </xdr:from>
    <xdr:to>
      <xdr:col>2</xdr:col>
      <xdr:colOff>209550</xdr:colOff>
      <xdr:row>183</xdr:row>
      <xdr:rowOff>0</xdr:rowOff>
    </xdr:to>
    <xdr:sp>
      <xdr:nvSpPr>
        <xdr:cNvPr id="169" name="Line 663"/>
        <xdr:cNvSpPr>
          <a:spLocks/>
        </xdr:cNvSpPr>
      </xdr:nvSpPr>
      <xdr:spPr>
        <a:xfrm>
          <a:off x="1524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170" name="Line 664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71" name="Line 665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172" name="Line 666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173" name="Line 667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174" name="Line 668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175" name="Line 669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176" name="Line 670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177" name="Line 671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171450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78" name="Rectangle 672"/>
        <xdr:cNvSpPr>
          <a:spLocks/>
        </xdr:cNvSpPr>
      </xdr:nvSpPr>
      <xdr:spPr>
        <a:xfrm>
          <a:off x="3714750" y="27803475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19050</xdr:colOff>
      <xdr:row>183</xdr:row>
      <xdr:rowOff>0</xdr:rowOff>
    </xdr:from>
    <xdr:to>
      <xdr:col>5</xdr:col>
      <xdr:colOff>161925</xdr:colOff>
      <xdr:row>183</xdr:row>
      <xdr:rowOff>0</xdr:rowOff>
    </xdr:to>
    <xdr:sp>
      <xdr:nvSpPr>
        <xdr:cNvPr id="179" name="Rectangle 673"/>
        <xdr:cNvSpPr>
          <a:spLocks/>
        </xdr:cNvSpPr>
      </xdr:nvSpPr>
      <xdr:spPr>
        <a:xfrm>
          <a:off x="1333500" y="27803475"/>
          <a:ext cx="2371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104775</xdr:colOff>
      <xdr:row>183</xdr:row>
      <xdr:rowOff>0</xdr:rowOff>
    </xdr:from>
    <xdr:to>
      <xdr:col>5</xdr:col>
      <xdr:colOff>209550</xdr:colOff>
      <xdr:row>183</xdr:row>
      <xdr:rowOff>0</xdr:rowOff>
    </xdr:to>
    <xdr:sp>
      <xdr:nvSpPr>
        <xdr:cNvPr id="180" name="Line 674"/>
        <xdr:cNvSpPr>
          <a:spLocks/>
        </xdr:cNvSpPr>
      </xdr:nvSpPr>
      <xdr:spPr>
        <a:xfrm flipH="1">
          <a:off x="364807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181" name="Line 675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82" name="Line 676"/>
        <xdr:cNvSpPr>
          <a:spLocks/>
        </xdr:cNvSpPr>
      </xdr:nvSpPr>
      <xdr:spPr>
        <a:xfrm>
          <a:off x="13239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183" name="Line 677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84" name="Line 678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185" name="Line 679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186" name="Line 680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187" name="Line 681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188" name="Line 682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189" name="Line 683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190" name="Line 684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171450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91" name="Rectangle 685"/>
        <xdr:cNvSpPr>
          <a:spLocks/>
        </xdr:cNvSpPr>
      </xdr:nvSpPr>
      <xdr:spPr>
        <a:xfrm>
          <a:off x="3714750" y="27803475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5</xdr:col>
      <xdr:colOff>161925</xdr:colOff>
      <xdr:row>183</xdr:row>
      <xdr:rowOff>0</xdr:rowOff>
    </xdr:to>
    <xdr:sp>
      <xdr:nvSpPr>
        <xdr:cNvPr id="192" name="Rectangle 686"/>
        <xdr:cNvSpPr>
          <a:spLocks/>
        </xdr:cNvSpPr>
      </xdr:nvSpPr>
      <xdr:spPr>
        <a:xfrm>
          <a:off x="1304925" y="27803475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104775</xdr:colOff>
      <xdr:row>183</xdr:row>
      <xdr:rowOff>0</xdr:rowOff>
    </xdr:from>
    <xdr:to>
      <xdr:col>5</xdr:col>
      <xdr:colOff>209550</xdr:colOff>
      <xdr:row>183</xdr:row>
      <xdr:rowOff>0</xdr:rowOff>
    </xdr:to>
    <xdr:sp>
      <xdr:nvSpPr>
        <xdr:cNvPr id="193" name="Line 687"/>
        <xdr:cNvSpPr>
          <a:spLocks/>
        </xdr:cNvSpPr>
      </xdr:nvSpPr>
      <xdr:spPr>
        <a:xfrm flipH="1">
          <a:off x="364807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194" name="Line 688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95" name="Line 689"/>
        <xdr:cNvSpPr>
          <a:spLocks/>
        </xdr:cNvSpPr>
      </xdr:nvSpPr>
      <xdr:spPr>
        <a:xfrm>
          <a:off x="13239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196" name="Line 690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197" name="Line 691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198" name="Line 692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199" name="Line 693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200" name="Line 694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01" name="Line 695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02" name="Line 696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03" name="Line 697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171450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04" name="Rectangle 698"/>
        <xdr:cNvSpPr>
          <a:spLocks/>
        </xdr:cNvSpPr>
      </xdr:nvSpPr>
      <xdr:spPr>
        <a:xfrm>
          <a:off x="3714750" y="27803475"/>
          <a:ext cx="771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5</xdr:col>
      <xdr:colOff>161925</xdr:colOff>
      <xdr:row>183</xdr:row>
      <xdr:rowOff>0</xdr:rowOff>
    </xdr:to>
    <xdr:sp>
      <xdr:nvSpPr>
        <xdr:cNvPr id="205" name="Rectangle 699"/>
        <xdr:cNvSpPr>
          <a:spLocks/>
        </xdr:cNvSpPr>
      </xdr:nvSpPr>
      <xdr:spPr>
        <a:xfrm>
          <a:off x="1314450" y="27803475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104775</xdr:colOff>
      <xdr:row>183</xdr:row>
      <xdr:rowOff>0</xdr:rowOff>
    </xdr:from>
    <xdr:to>
      <xdr:col>5</xdr:col>
      <xdr:colOff>209550</xdr:colOff>
      <xdr:row>183</xdr:row>
      <xdr:rowOff>0</xdr:rowOff>
    </xdr:to>
    <xdr:sp>
      <xdr:nvSpPr>
        <xdr:cNvPr id="206" name="Line 700"/>
        <xdr:cNvSpPr>
          <a:spLocks/>
        </xdr:cNvSpPr>
      </xdr:nvSpPr>
      <xdr:spPr>
        <a:xfrm flipH="1">
          <a:off x="364807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07" name="Line 701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08" name="Line 702"/>
        <xdr:cNvSpPr>
          <a:spLocks/>
        </xdr:cNvSpPr>
      </xdr:nvSpPr>
      <xdr:spPr>
        <a:xfrm>
          <a:off x="13239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09" name="Line 703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10" name="Line 704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11" name="Line 705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12" name="Line 706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12</xdr:col>
      <xdr:colOff>76200</xdr:colOff>
      <xdr:row>183</xdr:row>
      <xdr:rowOff>0</xdr:rowOff>
    </xdr:to>
    <xdr:graphicFrame>
      <xdr:nvGraphicFramePr>
        <xdr:cNvPr id="213" name="Chart 707"/>
        <xdr:cNvGraphicFramePr/>
      </xdr:nvGraphicFramePr>
      <xdr:xfrm>
        <a:off x="3228975" y="27803475"/>
        <a:ext cx="5248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214" name="Line 720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215" name="Line 721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216" name="Line 723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217" name="Rectangle 725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218" name="Drawing 265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323850</xdr:colOff>
      <xdr:row>182</xdr:row>
      <xdr:rowOff>0</xdr:rowOff>
    </xdr:from>
    <xdr:to>
      <xdr:col>3</xdr:col>
      <xdr:colOff>323850</xdr:colOff>
      <xdr:row>182</xdr:row>
      <xdr:rowOff>0</xdr:rowOff>
    </xdr:to>
    <xdr:sp>
      <xdr:nvSpPr>
        <xdr:cNvPr id="219" name="Line 728"/>
        <xdr:cNvSpPr>
          <a:spLocks/>
        </xdr:cNvSpPr>
      </xdr:nvSpPr>
      <xdr:spPr>
        <a:xfrm>
          <a:off x="2476500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220" name="Rectangle 730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123825</xdr:colOff>
      <xdr:row>182</xdr:row>
      <xdr:rowOff>0</xdr:rowOff>
    </xdr:from>
    <xdr:to>
      <xdr:col>2</xdr:col>
      <xdr:colOff>247650</xdr:colOff>
      <xdr:row>182</xdr:row>
      <xdr:rowOff>0</xdr:rowOff>
    </xdr:to>
    <xdr:sp>
      <xdr:nvSpPr>
        <xdr:cNvPr id="221" name="Drawing 270"/>
        <xdr:cNvSpPr>
          <a:spLocks/>
        </xdr:cNvSpPr>
      </xdr:nvSpPr>
      <xdr:spPr>
        <a:xfrm>
          <a:off x="1438275" y="27632025"/>
          <a:ext cx="123825" cy="0"/>
        </a:xfrm>
        <a:custGeom>
          <a:pathLst>
            <a:path h="16384" w="16384">
              <a:moveTo>
                <a:pt x="0" y="0"/>
              </a:moveTo>
              <a:lnTo>
                <a:pt x="2731" y="2185"/>
              </a:lnTo>
              <a:lnTo>
                <a:pt x="4096" y="4369"/>
              </a:lnTo>
              <a:lnTo>
                <a:pt x="6827" y="7646"/>
              </a:lnTo>
              <a:lnTo>
                <a:pt x="8192" y="8738"/>
              </a:lnTo>
              <a:lnTo>
                <a:pt x="9557" y="9830"/>
              </a:lnTo>
              <a:lnTo>
                <a:pt x="10922" y="10923"/>
              </a:lnTo>
              <a:lnTo>
                <a:pt x="10922" y="12015"/>
              </a:lnTo>
              <a:lnTo>
                <a:pt x="12288" y="12015"/>
              </a:lnTo>
              <a:lnTo>
                <a:pt x="13653" y="13107"/>
              </a:lnTo>
              <a:lnTo>
                <a:pt x="13653" y="14199"/>
              </a:lnTo>
              <a:lnTo>
                <a:pt x="15018" y="15292"/>
              </a:lnTo>
              <a:lnTo>
                <a:pt x="16384" y="152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182</xdr:row>
      <xdr:rowOff>0</xdr:rowOff>
    </xdr:from>
    <xdr:to>
      <xdr:col>3</xdr:col>
      <xdr:colOff>314325</xdr:colOff>
      <xdr:row>182</xdr:row>
      <xdr:rowOff>0</xdr:rowOff>
    </xdr:to>
    <xdr:sp>
      <xdr:nvSpPr>
        <xdr:cNvPr id="222" name="Line 816"/>
        <xdr:cNvSpPr>
          <a:spLocks/>
        </xdr:cNvSpPr>
      </xdr:nvSpPr>
      <xdr:spPr>
        <a:xfrm>
          <a:off x="2466975" y="27632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182</xdr:row>
      <xdr:rowOff>0</xdr:rowOff>
    </xdr:from>
    <xdr:to>
      <xdr:col>1</xdr:col>
      <xdr:colOff>180975</xdr:colOff>
      <xdr:row>182</xdr:row>
      <xdr:rowOff>0</xdr:rowOff>
    </xdr:to>
    <xdr:sp>
      <xdr:nvSpPr>
        <xdr:cNvPr id="223" name="Line 817"/>
        <xdr:cNvSpPr>
          <a:spLocks/>
        </xdr:cNvSpPr>
      </xdr:nvSpPr>
      <xdr:spPr>
        <a:xfrm>
          <a:off x="619125" y="276320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0</xdr:col>
      <xdr:colOff>323850</xdr:colOff>
      <xdr:row>182</xdr:row>
      <xdr:rowOff>0</xdr:rowOff>
    </xdr:from>
    <xdr:to>
      <xdr:col>1</xdr:col>
      <xdr:colOff>28575</xdr:colOff>
      <xdr:row>182</xdr:row>
      <xdr:rowOff>0</xdr:rowOff>
    </xdr:to>
    <xdr:sp>
      <xdr:nvSpPr>
        <xdr:cNvPr id="224" name="Rectangle 820"/>
        <xdr:cNvSpPr>
          <a:spLocks/>
        </xdr:cNvSpPr>
      </xdr:nvSpPr>
      <xdr:spPr>
        <a:xfrm>
          <a:off x="323850" y="27632025"/>
          <a:ext cx="1428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333375</xdr:colOff>
      <xdr:row>182</xdr:row>
      <xdr:rowOff>0</xdr:rowOff>
    </xdr:from>
    <xdr:to>
      <xdr:col>3</xdr:col>
      <xdr:colOff>438150</xdr:colOff>
      <xdr:row>182</xdr:row>
      <xdr:rowOff>0</xdr:rowOff>
    </xdr:to>
    <xdr:sp>
      <xdr:nvSpPr>
        <xdr:cNvPr id="225" name="Rectangle 826"/>
        <xdr:cNvSpPr>
          <a:spLocks/>
        </xdr:cNvSpPr>
      </xdr:nvSpPr>
      <xdr:spPr>
        <a:xfrm>
          <a:off x="2486025" y="27632025"/>
          <a:ext cx="1047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723900</xdr:colOff>
      <xdr:row>183</xdr:row>
      <xdr:rowOff>0</xdr:rowOff>
    </xdr:from>
    <xdr:to>
      <xdr:col>3</xdr:col>
      <xdr:colOff>47625</xdr:colOff>
      <xdr:row>183</xdr:row>
      <xdr:rowOff>0</xdr:rowOff>
    </xdr:to>
    <xdr:sp>
      <xdr:nvSpPr>
        <xdr:cNvPr id="226" name="Line 841"/>
        <xdr:cNvSpPr>
          <a:spLocks/>
        </xdr:cNvSpPr>
      </xdr:nvSpPr>
      <xdr:spPr>
        <a:xfrm flipH="1">
          <a:off x="2038350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723900</xdr:colOff>
      <xdr:row>183</xdr:row>
      <xdr:rowOff>0</xdr:rowOff>
    </xdr:from>
    <xdr:to>
      <xdr:col>3</xdr:col>
      <xdr:colOff>219075</xdr:colOff>
      <xdr:row>183</xdr:row>
      <xdr:rowOff>0</xdr:rowOff>
    </xdr:to>
    <xdr:sp>
      <xdr:nvSpPr>
        <xdr:cNvPr id="227" name="Line 842"/>
        <xdr:cNvSpPr>
          <a:spLocks/>
        </xdr:cNvSpPr>
      </xdr:nvSpPr>
      <xdr:spPr>
        <a:xfrm>
          <a:off x="203835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47625</xdr:colOff>
      <xdr:row>183</xdr:row>
      <xdr:rowOff>0</xdr:rowOff>
    </xdr:from>
    <xdr:to>
      <xdr:col>3</xdr:col>
      <xdr:colOff>266700</xdr:colOff>
      <xdr:row>183</xdr:row>
      <xdr:rowOff>0</xdr:rowOff>
    </xdr:to>
    <xdr:sp>
      <xdr:nvSpPr>
        <xdr:cNvPr id="228" name="Line 843"/>
        <xdr:cNvSpPr>
          <a:spLocks/>
        </xdr:cNvSpPr>
      </xdr:nvSpPr>
      <xdr:spPr>
        <a:xfrm>
          <a:off x="22002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29" name="Line 844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30" name="Line 845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31" name="Line 846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32" name="Rectangle 848"/>
        <xdr:cNvSpPr>
          <a:spLocks/>
        </xdr:cNvSpPr>
      </xdr:nvSpPr>
      <xdr:spPr>
        <a:xfrm>
          <a:off x="2190750" y="278034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33" name="Line 850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34" name="Line 879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733425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35" name="Line 882"/>
        <xdr:cNvSpPr>
          <a:spLocks/>
        </xdr:cNvSpPr>
      </xdr:nvSpPr>
      <xdr:spPr>
        <a:xfrm flipH="1">
          <a:off x="204787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3</xdr:col>
      <xdr:colOff>257175</xdr:colOff>
      <xdr:row>183</xdr:row>
      <xdr:rowOff>0</xdr:rowOff>
    </xdr:to>
    <xdr:sp>
      <xdr:nvSpPr>
        <xdr:cNvPr id="236" name="Line 883"/>
        <xdr:cNvSpPr>
          <a:spLocks/>
        </xdr:cNvSpPr>
      </xdr:nvSpPr>
      <xdr:spPr>
        <a:xfrm>
          <a:off x="207645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28575</xdr:colOff>
      <xdr:row>183</xdr:row>
      <xdr:rowOff>0</xdr:rowOff>
    </xdr:from>
    <xdr:to>
      <xdr:col>3</xdr:col>
      <xdr:colOff>247650</xdr:colOff>
      <xdr:row>183</xdr:row>
      <xdr:rowOff>0</xdr:rowOff>
    </xdr:to>
    <xdr:sp>
      <xdr:nvSpPr>
        <xdr:cNvPr id="237" name="Line 884"/>
        <xdr:cNvSpPr>
          <a:spLocks/>
        </xdr:cNvSpPr>
      </xdr:nvSpPr>
      <xdr:spPr>
        <a:xfrm>
          <a:off x="218122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38" name="Line 885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39" name="Line 886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40" name="Line 887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241" name="Rectangle 889"/>
        <xdr:cNvSpPr>
          <a:spLocks/>
        </xdr:cNvSpPr>
      </xdr:nvSpPr>
      <xdr:spPr>
        <a:xfrm>
          <a:off x="2209800" y="27803475"/>
          <a:ext cx="2257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42" name="Line 891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43" name="Line 894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733425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44" name="Line 897"/>
        <xdr:cNvSpPr>
          <a:spLocks/>
        </xdr:cNvSpPr>
      </xdr:nvSpPr>
      <xdr:spPr>
        <a:xfrm flipH="1">
          <a:off x="204787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762000</xdr:colOff>
      <xdr:row>183</xdr:row>
      <xdr:rowOff>0</xdr:rowOff>
    </xdr:from>
    <xdr:to>
      <xdr:col>3</xdr:col>
      <xdr:colOff>257175</xdr:colOff>
      <xdr:row>183</xdr:row>
      <xdr:rowOff>0</xdr:rowOff>
    </xdr:to>
    <xdr:sp>
      <xdr:nvSpPr>
        <xdr:cNvPr id="245" name="Line 898"/>
        <xdr:cNvSpPr>
          <a:spLocks/>
        </xdr:cNvSpPr>
      </xdr:nvSpPr>
      <xdr:spPr>
        <a:xfrm>
          <a:off x="207645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3</xdr:col>
      <xdr:colOff>276225</xdr:colOff>
      <xdr:row>183</xdr:row>
      <xdr:rowOff>0</xdr:rowOff>
    </xdr:to>
    <xdr:sp>
      <xdr:nvSpPr>
        <xdr:cNvPr id="246" name="Line 899"/>
        <xdr:cNvSpPr>
          <a:spLocks/>
        </xdr:cNvSpPr>
      </xdr:nvSpPr>
      <xdr:spPr>
        <a:xfrm>
          <a:off x="2209800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47" name="Line 900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48" name="Line 901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49" name="Line 902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5</xdr:col>
      <xdr:colOff>704850</xdr:colOff>
      <xdr:row>183</xdr:row>
      <xdr:rowOff>0</xdr:rowOff>
    </xdr:to>
    <xdr:sp>
      <xdr:nvSpPr>
        <xdr:cNvPr id="250" name="Rectangle 904"/>
        <xdr:cNvSpPr>
          <a:spLocks/>
        </xdr:cNvSpPr>
      </xdr:nvSpPr>
      <xdr:spPr>
        <a:xfrm>
          <a:off x="2209800" y="27803475"/>
          <a:ext cx="203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51" name="Line 906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52" name="Line 909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314325</xdr:colOff>
      <xdr:row>183</xdr:row>
      <xdr:rowOff>0</xdr:rowOff>
    </xdr:from>
    <xdr:to>
      <xdr:col>3</xdr:col>
      <xdr:colOff>314325</xdr:colOff>
      <xdr:row>183</xdr:row>
      <xdr:rowOff>0</xdr:rowOff>
    </xdr:to>
    <xdr:sp>
      <xdr:nvSpPr>
        <xdr:cNvPr id="253" name="Line 911"/>
        <xdr:cNvSpPr>
          <a:spLocks/>
        </xdr:cNvSpPr>
      </xdr:nvSpPr>
      <xdr:spPr>
        <a:xfrm>
          <a:off x="2466975" y="2780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180975</xdr:colOff>
      <xdr:row>183</xdr:row>
      <xdr:rowOff>0</xdr:rowOff>
    </xdr:from>
    <xdr:to>
      <xdr:col>1</xdr:col>
      <xdr:colOff>180975</xdr:colOff>
      <xdr:row>183</xdr:row>
      <xdr:rowOff>0</xdr:rowOff>
    </xdr:to>
    <xdr:sp>
      <xdr:nvSpPr>
        <xdr:cNvPr id="254" name="Line 912"/>
        <xdr:cNvSpPr>
          <a:spLocks/>
        </xdr:cNvSpPr>
      </xdr:nvSpPr>
      <xdr:spPr>
        <a:xfrm>
          <a:off x="619125" y="2780347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12</xdr:col>
      <xdr:colOff>76200</xdr:colOff>
      <xdr:row>183</xdr:row>
      <xdr:rowOff>0</xdr:rowOff>
    </xdr:to>
    <xdr:graphicFrame>
      <xdr:nvGraphicFramePr>
        <xdr:cNvPr id="255" name="Chart 923"/>
        <xdr:cNvGraphicFramePr/>
      </xdr:nvGraphicFramePr>
      <xdr:xfrm>
        <a:off x="3228975" y="27803475"/>
        <a:ext cx="5248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56" name="Line 924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438150</xdr:colOff>
      <xdr:row>183</xdr:row>
      <xdr:rowOff>0</xdr:rowOff>
    </xdr:from>
    <xdr:to>
      <xdr:col>2</xdr:col>
      <xdr:colOff>438150</xdr:colOff>
      <xdr:row>183</xdr:row>
      <xdr:rowOff>0</xdr:rowOff>
    </xdr:to>
    <xdr:sp>
      <xdr:nvSpPr>
        <xdr:cNvPr id="257" name="Line 925"/>
        <xdr:cNvSpPr>
          <a:spLocks/>
        </xdr:cNvSpPr>
      </xdr:nvSpPr>
      <xdr:spPr>
        <a:xfrm>
          <a:off x="17526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638175</xdr:colOff>
      <xdr:row>183</xdr:row>
      <xdr:rowOff>0</xdr:rowOff>
    </xdr:from>
    <xdr:to>
      <xdr:col>2</xdr:col>
      <xdr:colOff>638175</xdr:colOff>
      <xdr:row>183</xdr:row>
      <xdr:rowOff>0</xdr:rowOff>
    </xdr:to>
    <xdr:sp>
      <xdr:nvSpPr>
        <xdr:cNvPr id="258" name="Line 926"/>
        <xdr:cNvSpPr>
          <a:spLocks/>
        </xdr:cNvSpPr>
      </xdr:nvSpPr>
      <xdr:spPr>
        <a:xfrm>
          <a:off x="19526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257175</xdr:colOff>
      <xdr:row>183</xdr:row>
      <xdr:rowOff>0</xdr:rowOff>
    </xdr:from>
    <xdr:to>
      <xdr:col>3</xdr:col>
      <xdr:colOff>257175</xdr:colOff>
      <xdr:row>183</xdr:row>
      <xdr:rowOff>0</xdr:rowOff>
    </xdr:to>
    <xdr:sp>
      <xdr:nvSpPr>
        <xdr:cNvPr id="259" name="Line 927"/>
        <xdr:cNvSpPr>
          <a:spLocks/>
        </xdr:cNvSpPr>
      </xdr:nvSpPr>
      <xdr:spPr>
        <a:xfrm>
          <a:off x="24098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123825</xdr:colOff>
      <xdr:row>183</xdr:row>
      <xdr:rowOff>0</xdr:rowOff>
    </xdr:from>
    <xdr:to>
      <xdr:col>4</xdr:col>
      <xdr:colOff>123825</xdr:colOff>
      <xdr:row>183</xdr:row>
      <xdr:rowOff>0</xdr:rowOff>
    </xdr:to>
    <xdr:sp>
      <xdr:nvSpPr>
        <xdr:cNvPr id="260" name="Line 928"/>
        <xdr:cNvSpPr>
          <a:spLocks/>
        </xdr:cNvSpPr>
      </xdr:nvSpPr>
      <xdr:spPr>
        <a:xfrm>
          <a:off x="29622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390525</xdr:colOff>
      <xdr:row>183</xdr:row>
      <xdr:rowOff>0</xdr:rowOff>
    </xdr:from>
    <xdr:to>
      <xdr:col>4</xdr:col>
      <xdr:colOff>390525</xdr:colOff>
      <xdr:row>183</xdr:row>
      <xdr:rowOff>0</xdr:rowOff>
    </xdr:to>
    <xdr:sp>
      <xdr:nvSpPr>
        <xdr:cNvPr id="261" name="Line 929"/>
        <xdr:cNvSpPr>
          <a:spLocks/>
        </xdr:cNvSpPr>
      </xdr:nvSpPr>
      <xdr:spPr>
        <a:xfrm>
          <a:off x="3228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47625</xdr:colOff>
      <xdr:row>183</xdr:row>
      <xdr:rowOff>0</xdr:rowOff>
    </xdr:from>
    <xdr:to>
      <xdr:col>5</xdr:col>
      <xdr:colOff>47625</xdr:colOff>
      <xdr:row>183</xdr:row>
      <xdr:rowOff>0</xdr:rowOff>
    </xdr:to>
    <xdr:sp>
      <xdr:nvSpPr>
        <xdr:cNvPr id="262" name="Line 930"/>
        <xdr:cNvSpPr>
          <a:spLocks/>
        </xdr:cNvSpPr>
      </xdr:nvSpPr>
      <xdr:spPr>
        <a:xfrm>
          <a:off x="35909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304800</xdr:colOff>
      <xdr:row>183</xdr:row>
      <xdr:rowOff>0</xdr:rowOff>
    </xdr:from>
    <xdr:to>
      <xdr:col>5</xdr:col>
      <xdr:colOff>304800</xdr:colOff>
      <xdr:row>183</xdr:row>
      <xdr:rowOff>0</xdr:rowOff>
    </xdr:to>
    <xdr:sp>
      <xdr:nvSpPr>
        <xdr:cNvPr id="263" name="Line 931"/>
        <xdr:cNvSpPr>
          <a:spLocks/>
        </xdr:cNvSpPr>
      </xdr:nvSpPr>
      <xdr:spPr>
        <a:xfrm>
          <a:off x="38481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264" name="Line 932"/>
        <xdr:cNvSpPr>
          <a:spLocks/>
        </xdr:cNvSpPr>
      </xdr:nvSpPr>
      <xdr:spPr>
        <a:xfrm>
          <a:off x="44672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304800</xdr:colOff>
      <xdr:row>183</xdr:row>
      <xdr:rowOff>0</xdr:rowOff>
    </xdr:from>
    <xdr:to>
      <xdr:col>6</xdr:col>
      <xdr:colOff>304800</xdr:colOff>
      <xdr:row>183</xdr:row>
      <xdr:rowOff>0</xdr:rowOff>
    </xdr:to>
    <xdr:sp>
      <xdr:nvSpPr>
        <xdr:cNvPr id="265" name="Line 933"/>
        <xdr:cNvSpPr>
          <a:spLocks/>
        </xdr:cNvSpPr>
      </xdr:nvSpPr>
      <xdr:spPr>
        <a:xfrm>
          <a:off x="477202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66" name="Line 934"/>
        <xdr:cNvSpPr>
          <a:spLocks/>
        </xdr:cNvSpPr>
      </xdr:nvSpPr>
      <xdr:spPr>
        <a:xfrm>
          <a:off x="5133975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514350</xdr:colOff>
      <xdr:row>183</xdr:row>
      <xdr:rowOff>0</xdr:rowOff>
    </xdr:from>
    <xdr:to>
      <xdr:col>3</xdr:col>
      <xdr:colOff>514350</xdr:colOff>
      <xdr:row>183</xdr:row>
      <xdr:rowOff>0</xdr:rowOff>
    </xdr:to>
    <xdr:sp>
      <xdr:nvSpPr>
        <xdr:cNvPr id="267" name="Line 935"/>
        <xdr:cNvSpPr>
          <a:spLocks/>
        </xdr:cNvSpPr>
      </xdr:nvSpPr>
      <xdr:spPr>
        <a:xfrm>
          <a:off x="2667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38100</xdr:colOff>
      <xdr:row>183</xdr:row>
      <xdr:rowOff>0</xdr:rowOff>
    </xdr:from>
    <xdr:to>
      <xdr:col>3</xdr:col>
      <xdr:colOff>38100</xdr:colOff>
      <xdr:row>183</xdr:row>
      <xdr:rowOff>0</xdr:rowOff>
    </xdr:to>
    <xdr:sp>
      <xdr:nvSpPr>
        <xdr:cNvPr id="268" name="Line 936"/>
        <xdr:cNvSpPr>
          <a:spLocks/>
        </xdr:cNvSpPr>
      </xdr:nvSpPr>
      <xdr:spPr>
        <a:xfrm>
          <a:off x="21907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269" name="Line 937"/>
        <xdr:cNvSpPr>
          <a:spLocks/>
        </xdr:cNvSpPr>
      </xdr:nvSpPr>
      <xdr:spPr>
        <a:xfrm>
          <a:off x="131445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209550</xdr:colOff>
      <xdr:row>183</xdr:row>
      <xdr:rowOff>0</xdr:rowOff>
    </xdr:from>
    <xdr:to>
      <xdr:col>2</xdr:col>
      <xdr:colOff>209550</xdr:colOff>
      <xdr:row>183</xdr:row>
      <xdr:rowOff>0</xdr:rowOff>
    </xdr:to>
    <xdr:sp>
      <xdr:nvSpPr>
        <xdr:cNvPr id="270" name="Line 938"/>
        <xdr:cNvSpPr>
          <a:spLocks/>
        </xdr:cNvSpPr>
      </xdr:nvSpPr>
      <xdr:spPr>
        <a:xfrm>
          <a:off x="15240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271" name="Line 939"/>
        <xdr:cNvSpPr>
          <a:spLocks/>
        </xdr:cNvSpPr>
      </xdr:nvSpPr>
      <xdr:spPr>
        <a:xfrm>
          <a:off x="1314450" y="27803475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72" name="Line 940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273" name="Line 941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274" name="Line 942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275" name="Line 943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76" name="Line 944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77" name="Line 945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78" name="Line 946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279" name="Rectangle 947"/>
        <xdr:cNvSpPr>
          <a:spLocks/>
        </xdr:cNvSpPr>
      </xdr:nvSpPr>
      <xdr:spPr>
        <a:xfrm>
          <a:off x="2209800" y="27803475"/>
          <a:ext cx="2257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80" name="Line 948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695325</xdr:colOff>
      <xdr:row>183</xdr:row>
      <xdr:rowOff>0</xdr:rowOff>
    </xdr:from>
    <xdr:to>
      <xdr:col>7</xdr:col>
      <xdr:colOff>38100</xdr:colOff>
      <xdr:row>183</xdr:row>
      <xdr:rowOff>0</xdr:rowOff>
    </xdr:to>
    <xdr:sp>
      <xdr:nvSpPr>
        <xdr:cNvPr id="281" name="Line 949"/>
        <xdr:cNvSpPr>
          <a:spLocks/>
        </xdr:cNvSpPr>
      </xdr:nvSpPr>
      <xdr:spPr>
        <a:xfrm>
          <a:off x="20097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82" name="Line 950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83" name="Line 951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3</xdr:col>
      <xdr:colOff>28575</xdr:colOff>
      <xdr:row>183</xdr:row>
      <xdr:rowOff>0</xdr:rowOff>
    </xdr:to>
    <xdr:sp>
      <xdr:nvSpPr>
        <xdr:cNvPr id="284" name="Rectangle 952"/>
        <xdr:cNvSpPr>
          <a:spLocks/>
        </xdr:cNvSpPr>
      </xdr:nvSpPr>
      <xdr:spPr>
        <a:xfrm>
          <a:off x="1323975" y="278034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85" name="Line 953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286" name="Line 954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287" name="Line 955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288" name="Line 956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289" name="Line 957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290" name="Line 958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291" name="Line 959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6</xdr:col>
      <xdr:colOff>0</xdr:colOff>
      <xdr:row>183</xdr:row>
      <xdr:rowOff>0</xdr:rowOff>
    </xdr:to>
    <xdr:sp>
      <xdr:nvSpPr>
        <xdr:cNvPr id="292" name="Rectangle 960"/>
        <xdr:cNvSpPr>
          <a:spLocks/>
        </xdr:cNvSpPr>
      </xdr:nvSpPr>
      <xdr:spPr>
        <a:xfrm>
          <a:off x="2209800" y="27803475"/>
          <a:ext cx="2257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293" name="Line 961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94" name="Line 962"/>
        <xdr:cNvSpPr>
          <a:spLocks/>
        </xdr:cNvSpPr>
      </xdr:nvSpPr>
      <xdr:spPr>
        <a:xfrm>
          <a:off x="13239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295" name="Line 963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296" name="Line 964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3</xdr:col>
      <xdr:colOff>28575</xdr:colOff>
      <xdr:row>183</xdr:row>
      <xdr:rowOff>0</xdr:rowOff>
    </xdr:to>
    <xdr:sp>
      <xdr:nvSpPr>
        <xdr:cNvPr id="297" name="Rectangle 965"/>
        <xdr:cNvSpPr>
          <a:spLocks/>
        </xdr:cNvSpPr>
      </xdr:nvSpPr>
      <xdr:spPr>
        <a:xfrm>
          <a:off x="1323975" y="278034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866775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298" name="Line 966"/>
        <xdr:cNvSpPr>
          <a:spLocks/>
        </xdr:cNvSpPr>
      </xdr:nvSpPr>
      <xdr:spPr>
        <a:xfrm flipV="1">
          <a:off x="1304925" y="2780347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714375</xdr:colOff>
      <xdr:row>183</xdr:row>
      <xdr:rowOff>0</xdr:rowOff>
    </xdr:from>
    <xdr:to>
      <xdr:col>2</xdr:col>
      <xdr:colOff>0</xdr:colOff>
      <xdr:row>183</xdr:row>
      <xdr:rowOff>0</xdr:rowOff>
    </xdr:to>
    <xdr:sp>
      <xdr:nvSpPr>
        <xdr:cNvPr id="299" name="Line 967"/>
        <xdr:cNvSpPr>
          <a:spLocks/>
        </xdr:cNvSpPr>
      </xdr:nvSpPr>
      <xdr:spPr>
        <a:xfrm flipH="1">
          <a:off x="11525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704850</xdr:colOff>
      <xdr:row>183</xdr:row>
      <xdr:rowOff>0</xdr:rowOff>
    </xdr:from>
    <xdr:to>
      <xdr:col>2</xdr:col>
      <xdr:colOff>161925</xdr:colOff>
      <xdr:row>183</xdr:row>
      <xdr:rowOff>0</xdr:rowOff>
    </xdr:to>
    <xdr:sp>
      <xdr:nvSpPr>
        <xdr:cNvPr id="300" name="Line 968"/>
        <xdr:cNvSpPr>
          <a:spLocks/>
        </xdr:cNvSpPr>
      </xdr:nvSpPr>
      <xdr:spPr>
        <a:xfrm>
          <a:off x="1143000" y="27803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847725</xdr:colOff>
      <xdr:row>183</xdr:row>
      <xdr:rowOff>0</xdr:rowOff>
    </xdr:from>
    <xdr:to>
      <xdr:col>2</xdr:col>
      <xdr:colOff>190500</xdr:colOff>
      <xdr:row>183</xdr:row>
      <xdr:rowOff>0</xdr:rowOff>
    </xdr:to>
    <xdr:sp>
      <xdr:nvSpPr>
        <xdr:cNvPr id="301" name="Line 969"/>
        <xdr:cNvSpPr>
          <a:spLocks/>
        </xdr:cNvSpPr>
      </xdr:nvSpPr>
      <xdr:spPr>
        <a:xfrm>
          <a:off x="1285875" y="27803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590550</xdr:colOff>
      <xdr:row>183</xdr:row>
      <xdr:rowOff>0</xdr:rowOff>
    </xdr:from>
    <xdr:to>
      <xdr:col>6</xdr:col>
      <xdr:colOff>28575</xdr:colOff>
      <xdr:row>183</xdr:row>
      <xdr:rowOff>0</xdr:rowOff>
    </xdr:to>
    <xdr:sp>
      <xdr:nvSpPr>
        <xdr:cNvPr id="302" name="Line 970"/>
        <xdr:cNvSpPr>
          <a:spLocks/>
        </xdr:cNvSpPr>
      </xdr:nvSpPr>
      <xdr:spPr>
        <a:xfrm flipH="1">
          <a:off x="4133850" y="27803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571500</xdr:colOff>
      <xdr:row>183</xdr:row>
      <xdr:rowOff>0</xdr:rowOff>
    </xdr:from>
    <xdr:to>
      <xdr:col>6</xdr:col>
      <xdr:colOff>152400</xdr:colOff>
      <xdr:row>183</xdr:row>
      <xdr:rowOff>0</xdr:rowOff>
    </xdr:to>
    <xdr:sp>
      <xdr:nvSpPr>
        <xdr:cNvPr id="303" name="Line 971"/>
        <xdr:cNvSpPr>
          <a:spLocks/>
        </xdr:cNvSpPr>
      </xdr:nvSpPr>
      <xdr:spPr>
        <a:xfrm>
          <a:off x="4114800" y="278034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0</xdr:colOff>
      <xdr:row>183</xdr:row>
      <xdr:rowOff>0</xdr:rowOff>
    </xdr:from>
    <xdr:to>
      <xdr:col>6</xdr:col>
      <xdr:colOff>161925</xdr:colOff>
      <xdr:row>183</xdr:row>
      <xdr:rowOff>0</xdr:rowOff>
    </xdr:to>
    <xdr:sp>
      <xdr:nvSpPr>
        <xdr:cNvPr id="304" name="Line 972"/>
        <xdr:cNvSpPr>
          <a:spLocks/>
        </xdr:cNvSpPr>
      </xdr:nvSpPr>
      <xdr:spPr>
        <a:xfrm>
          <a:off x="4467225" y="2780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3</xdr:col>
      <xdr:colOff>57150</xdr:colOff>
      <xdr:row>183</xdr:row>
      <xdr:rowOff>0</xdr:rowOff>
    </xdr:from>
    <xdr:to>
      <xdr:col>5</xdr:col>
      <xdr:colOff>704850</xdr:colOff>
      <xdr:row>183</xdr:row>
      <xdr:rowOff>0</xdr:rowOff>
    </xdr:to>
    <xdr:sp>
      <xdr:nvSpPr>
        <xdr:cNvPr id="305" name="Rectangle 973"/>
        <xdr:cNvSpPr>
          <a:spLocks/>
        </xdr:cNvSpPr>
      </xdr:nvSpPr>
      <xdr:spPr>
        <a:xfrm>
          <a:off x="2209800" y="27803475"/>
          <a:ext cx="203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5</xdr:col>
      <xdr:colOff>666750</xdr:colOff>
      <xdr:row>183</xdr:row>
      <xdr:rowOff>0</xdr:rowOff>
    </xdr:from>
    <xdr:to>
      <xdr:col>6</xdr:col>
      <xdr:colOff>57150</xdr:colOff>
      <xdr:row>183</xdr:row>
      <xdr:rowOff>0</xdr:rowOff>
    </xdr:to>
    <xdr:sp>
      <xdr:nvSpPr>
        <xdr:cNvPr id="306" name="Line 974"/>
        <xdr:cNvSpPr>
          <a:spLocks/>
        </xdr:cNvSpPr>
      </xdr:nvSpPr>
      <xdr:spPr>
        <a:xfrm flipH="1">
          <a:off x="4210050" y="27803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6</xdr:col>
      <xdr:colOff>19050</xdr:colOff>
      <xdr:row>183</xdr:row>
      <xdr:rowOff>0</xdr:rowOff>
    </xdr:to>
    <xdr:sp>
      <xdr:nvSpPr>
        <xdr:cNvPr id="307" name="Line 975"/>
        <xdr:cNvSpPr>
          <a:spLocks/>
        </xdr:cNvSpPr>
      </xdr:nvSpPr>
      <xdr:spPr>
        <a:xfrm>
          <a:off x="1323975" y="278034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838200</xdr:colOff>
      <xdr:row>183</xdr:row>
      <xdr:rowOff>0</xdr:rowOff>
    </xdr:from>
    <xdr:to>
      <xdr:col>2</xdr:col>
      <xdr:colOff>47625</xdr:colOff>
      <xdr:row>183</xdr:row>
      <xdr:rowOff>0</xdr:rowOff>
    </xdr:to>
    <xdr:sp>
      <xdr:nvSpPr>
        <xdr:cNvPr id="308" name="Line 976"/>
        <xdr:cNvSpPr>
          <a:spLocks/>
        </xdr:cNvSpPr>
      </xdr:nvSpPr>
      <xdr:spPr>
        <a:xfrm flipH="1">
          <a:off x="1276350" y="2780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790575</xdr:colOff>
      <xdr:row>183</xdr:row>
      <xdr:rowOff>0</xdr:rowOff>
    </xdr:from>
    <xdr:to>
      <xdr:col>3</xdr:col>
      <xdr:colOff>57150</xdr:colOff>
      <xdr:row>183</xdr:row>
      <xdr:rowOff>0</xdr:rowOff>
    </xdr:to>
    <xdr:sp>
      <xdr:nvSpPr>
        <xdr:cNvPr id="309" name="Line 977"/>
        <xdr:cNvSpPr>
          <a:spLocks/>
        </xdr:cNvSpPr>
      </xdr:nvSpPr>
      <xdr:spPr>
        <a:xfrm flipH="1">
          <a:off x="2105025" y="278034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9525</xdr:colOff>
      <xdr:row>183</xdr:row>
      <xdr:rowOff>0</xdr:rowOff>
    </xdr:from>
    <xdr:to>
      <xdr:col>3</xdr:col>
      <xdr:colOff>28575</xdr:colOff>
      <xdr:row>183</xdr:row>
      <xdr:rowOff>0</xdr:rowOff>
    </xdr:to>
    <xdr:sp>
      <xdr:nvSpPr>
        <xdr:cNvPr id="310" name="Rectangle 978"/>
        <xdr:cNvSpPr>
          <a:spLocks/>
        </xdr:cNvSpPr>
      </xdr:nvSpPr>
      <xdr:spPr>
        <a:xfrm>
          <a:off x="1323975" y="27803475"/>
          <a:ext cx="857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311" name="Line 980"/>
        <xdr:cNvSpPr>
          <a:spLocks/>
        </xdr:cNvSpPr>
      </xdr:nvSpPr>
      <xdr:spPr>
        <a:xfrm>
          <a:off x="4476750" y="2780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7</xdr:col>
      <xdr:colOff>9525</xdr:colOff>
      <xdr:row>183</xdr:row>
      <xdr:rowOff>0</xdr:rowOff>
    </xdr:from>
    <xdr:to>
      <xdr:col>7</xdr:col>
      <xdr:colOff>9525</xdr:colOff>
      <xdr:row>183</xdr:row>
      <xdr:rowOff>0</xdr:rowOff>
    </xdr:to>
    <xdr:sp>
      <xdr:nvSpPr>
        <xdr:cNvPr id="312" name="Line 981"/>
        <xdr:cNvSpPr>
          <a:spLocks/>
        </xdr:cNvSpPr>
      </xdr:nvSpPr>
      <xdr:spPr>
        <a:xfrm flipV="1">
          <a:off x="5143500" y="2780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9525</xdr:colOff>
      <xdr:row>183</xdr:row>
      <xdr:rowOff>0</xdr:rowOff>
    </xdr:from>
    <xdr:to>
      <xdr:col>7</xdr:col>
      <xdr:colOff>9525</xdr:colOff>
      <xdr:row>183</xdr:row>
      <xdr:rowOff>0</xdr:rowOff>
    </xdr:to>
    <xdr:sp>
      <xdr:nvSpPr>
        <xdr:cNvPr id="313" name="Line 983"/>
        <xdr:cNvSpPr>
          <a:spLocks/>
        </xdr:cNvSpPr>
      </xdr:nvSpPr>
      <xdr:spPr>
        <a:xfrm flipH="1">
          <a:off x="4476750" y="27803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6</xdr:col>
      <xdr:colOff>628650</xdr:colOff>
      <xdr:row>183</xdr:row>
      <xdr:rowOff>0</xdr:rowOff>
    </xdr:from>
    <xdr:to>
      <xdr:col>7</xdr:col>
      <xdr:colOff>38100</xdr:colOff>
      <xdr:row>183</xdr:row>
      <xdr:rowOff>0</xdr:rowOff>
    </xdr:to>
    <xdr:sp>
      <xdr:nvSpPr>
        <xdr:cNvPr id="314" name="Line 984"/>
        <xdr:cNvSpPr>
          <a:spLocks/>
        </xdr:cNvSpPr>
      </xdr:nvSpPr>
      <xdr:spPr>
        <a:xfrm flipH="1">
          <a:off x="5095875" y="27803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857250</xdr:colOff>
      <xdr:row>183</xdr:row>
      <xdr:rowOff>0</xdr:rowOff>
    </xdr:from>
    <xdr:to>
      <xdr:col>3</xdr:col>
      <xdr:colOff>9525</xdr:colOff>
      <xdr:row>183</xdr:row>
      <xdr:rowOff>0</xdr:rowOff>
    </xdr:to>
    <xdr:sp>
      <xdr:nvSpPr>
        <xdr:cNvPr id="315" name="Line 985"/>
        <xdr:cNvSpPr>
          <a:spLocks/>
        </xdr:cNvSpPr>
      </xdr:nvSpPr>
      <xdr:spPr>
        <a:xfrm>
          <a:off x="1295400" y="278034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533400" y="657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7</xdr:row>
      <xdr:rowOff>19050</xdr:rowOff>
    </xdr:to>
    <xdr:sp>
      <xdr:nvSpPr>
        <xdr:cNvPr id="2" name="Line 3"/>
        <xdr:cNvSpPr>
          <a:spLocks/>
        </xdr:cNvSpPr>
      </xdr:nvSpPr>
      <xdr:spPr>
        <a:xfrm>
          <a:off x="533400" y="647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523875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533400" y="11334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4</xdr:row>
      <xdr:rowOff>0</xdr:rowOff>
    </xdr:from>
    <xdr:to>
      <xdr:col>2</xdr:col>
      <xdr:colOff>523875</xdr:colOff>
      <xdr:row>7</xdr:row>
      <xdr:rowOff>9525</xdr:rowOff>
    </xdr:to>
    <xdr:sp>
      <xdr:nvSpPr>
        <xdr:cNvPr id="4" name="Line 8"/>
        <xdr:cNvSpPr>
          <a:spLocks/>
        </xdr:cNvSpPr>
      </xdr:nvSpPr>
      <xdr:spPr>
        <a:xfrm>
          <a:off x="1590675" y="6477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3</xdr:col>
      <xdr:colOff>0</xdr:colOff>
      <xdr:row>9</xdr:row>
      <xdr:rowOff>9525</xdr:rowOff>
    </xdr:to>
    <xdr:sp>
      <xdr:nvSpPr>
        <xdr:cNvPr id="5" name="Line 9"/>
        <xdr:cNvSpPr>
          <a:spLocks/>
        </xdr:cNvSpPr>
      </xdr:nvSpPr>
      <xdr:spPr>
        <a:xfrm>
          <a:off x="533400" y="14668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12</xdr:row>
      <xdr:rowOff>19050</xdr:rowOff>
    </xdr:to>
    <xdr:sp>
      <xdr:nvSpPr>
        <xdr:cNvPr id="6" name="Line 10"/>
        <xdr:cNvSpPr>
          <a:spLocks/>
        </xdr:cNvSpPr>
      </xdr:nvSpPr>
      <xdr:spPr>
        <a:xfrm>
          <a:off x="533400" y="1457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523875</xdr:colOff>
      <xdr:row>12</xdr:row>
      <xdr:rowOff>0</xdr:rowOff>
    </xdr:to>
    <xdr:sp>
      <xdr:nvSpPr>
        <xdr:cNvPr id="7" name="Line 11"/>
        <xdr:cNvSpPr>
          <a:spLocks/>
        </xdr:cNvSpPr>
      </xdr:nvSpPr>
      <xdr:spPr>
        <a:xfrm>
          <a:off x="533400" y="19431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9</xdr:row>
      <xdr:rowOff>0</xdr:rowOff>
    </xdr:from>
    <xdr:to>
      <xdr:col>2</xdr:col>
      <xdr:colOff>523875</xdr:colOff>
      <xdr:row>12</xdr:row>
      <xdr:rowOff>9525</xdr:rowOff>
    </xdr:to>
    <xdr:sp>
      <xdr:nvSpPr>
        <xdr:cNvPr id="8" name="Line 12"/>
        <xdr:cNvSpPr>
          <a:spLocks/>
        </xdr:cNvSpPr>
      </xdr:nvSpPr>
      <xdr:spPr>
        <a:xfrm>
          <a:off x="1590675" y="1457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3</xdr:col>
      <xdr:colOff>0</xdr:colOff>
      <xdr:row>15</xdr:row>
      <xdr:rowOff>9525</xdr:rowOff>
    </xdr:to>
    <xdr:sp>
      <xdr:nvSpPr>
        <xdr:cNvPr id="9" name="Line 13"/>
        <xdr:cNvSpPr>
          <a:spLocks/>
        </xdr:cNvSpPr>
      </xdr:nvSpPr>
      <xdr:spPr>
        <a:xfrm>
          <a:off x="533400" y="24384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18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533400" y="24288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523875</xdr:colOff>
      <xdr:row>18</xdr:row>
      <xdr:rowOff>0</xdr:rowOff>
    </xdr:to>
    <xdr:sp>
      <xdr:nvSpPr>
        <xdr:cNvPr id="11" name="Line 15"/>
        <xdr:cNvSpPr>
          <a:spLocks/>
        </xdr:cNvSpPr>
      </xdr:nvSpPr>
      <xdr:spPr>
        <a:xfrm>
          <a:off x="533400" y="2914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15</xdr:row>
      <xdr:rowOff>0</xdr:rowOff>
    </xdr:from>
    <xdr:to>
      <xdr:col>2</xdr:col>
      <xdr:colOff>523875</xdr:colOff>
      <xdr:row>18</xdr:row>
      <xdr:rowOff>9525</xdr:rowOff>
    </xdr:to>
    <xdr:sp>
      <xdr:nvSpPr>
        <xdr:cNvPr id="12" name="Line 16"/>
        <xdr:cNvSpPr>
          <a:spLocks/>
        </xdr:cNvSpPr>
      </xdr:nvSpPr>
      <xdr:spPr>
        <a:xfrm>
          <a:off x="1590675" y="24288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3</xdr:col>
      <xdr:colOff>0</xdr:colOff>
      <xdr:row>20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533400" y="3248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23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533400" y="32385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523875</xdr:colOff>
      <xdr:row>23</xdr:row>
      <xdr:rowOff>0</xdr:rowOff>
    </xdr:to>
    <xdr:sp>
      <xdr:nvSpPr>
        <xdr:cNvPr id="15" name="Line 19"/>
        <xdr:cNvSpPr>
          <a:spLocks/>
        </xdr:cNvSpPr>
      </xdr:nvSpPr>
      <xdr:spPr>
        <a:xfrm>
          <a:off x="533400" y="3724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20</xdr:row>
      <xdr:rowOff>0</xdr:rowOff>
    </xdr:from>
    <xdr:to>
      <xdr:col>2</xdr:col>
      <xdr:colOff>523875</xdr:colOff>
      <xdr:row>23</xdr:row>
      <xdr:rowOff>9525</xdr:rowOff>
    </xdr:to>
    <xdr:sp>
      <xdr:nvSpPr>
        <xdr:cNvPr id="16" name="Line 20"/>
        <xdr:cNvSpPr>
          <a:spLocks/>
        </xdr:cNvSpPr>
      </xdr:nvSpPr>
      <xdr:spPr>
        <a:xfrm>
          <a:off x="1590675" y="32385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3</xdr:col>
      <xdr:colOff>0</xdr:colOff>
      <xdr:row>25</xdr:row>
      <xdr:rowOff>9525</xdr:rowOff>
    </xdr:to>
    <xdr:sp>
      <xdr:nvSpPr>
        <xdr:cNvPr id="17" name="Line 21"/>
        <xdr:cNvSpPr>
          <a:spLocks/>
        </xdr:cNvSpPr>
      </xdr:nvSpPr>
      <xdr:spPr>
        <a:xfrm>
          <a:off x="533400" y="40576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28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533400" y="40481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523875</xdr:colOff>
      <xdr:row>28</xdr:row>
      <xdr:rowOff>0</xdr:rowOff>
    </xdr:to>
    <xdr:sp>
      <xdr:nvSpPr>
        <xdr:cNvPr id="19" name="Line 23"/>
        <xdr:cNvSpPr>
          <a:spLocks/>
        </xdr:cNvSpPr>
      </xdr:nvSpPr>
      <xdr:spPr>
        <a:xfrm>
          <a:off x="533400" y="4533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0</xdr:rowOff>
    </xdr:from>
    <xdr:to>
      <xdr:col>2</xdr:col>
      <xdr:colOff>523875</xdr:colOff>
      <xdr:row>28</xdr:row>
      <xdr:rowOff>9525</xdr:rowOff>
    </xdr:to>
    <xdr:sp>
      <xdr:nvSpPr>
        <xdr:cNvPr id="20" name="Line 24"/>
        <xdr:cNvSpPr>
          <a:spLocks/>
        </xdr:cNvSpPr>
      </xdr:nvSpPr>
      <xdr:spPr>
        <a:xfrm>
          <a:off x="1590675" y="40481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3</xdr:col>
      <xdr:colOff>0</xdr:colOff>
      <xdr:row>30</xdr:row>
      <xdr:rowOff>9525</xdr:rowOff>
    </xdr:to>
    <xdr:sp>
      <xdr:nvSpPr>
        <xdr:cNvPr id="21" name="Line 25"/>
        <xdr:cNvSpPr>
          <a:spLocks/>
        </xdr:cNvSpPr>
      </xdr:nvSpPr>
      <xdr:spPr>
        <a:xfrm>
          <a:off x="533400" y="4867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33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533400" y="48577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523875</xdr:colOff>
      <xdr:row>33</xdr:row>
      <xdr:rowOff>0</xdr:rowOff>
    </xdr:to>
    <xdr:sp>
      <xdr:nvSpPr>
        <xdr:cNvPr id="23" name="Line 27"/>
        <xdr:cNvSpPr>
          <a:spLocks/>
        </xdr:cNvSpPr>
      </xdr:nvSpPr>
      <xdr:spPr>
        <a:xfrm>
          <a:off x="533400" y="5343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0</xdr:rowOff>
    </xdr:from>
    <xdr:to>
      <xdr:col>2</xdr:col>
      <xdr:colOff>523875</xdr:colOff>
      <xdr:row>33</xdr:row>
      <xdr:rowOff>9525</xdr:rowOff>
    </xdr:to>
    <xdr:sp>
      <xdr:nvSpPr>
        <xdr:cNvPr id="24" name="Line 28"/>
        <xdr:cNvSpPr>
          <a:spLocks/>
        </xdr:cNvSpPr>
      </xdr:nvSpPr>
      <xdr:spPr>
        <a:xfrm>
          <a:off x="1590675" y="48577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3</xdr:col>
      <xdr:colOff>0</xdr:colOff>
      <xdr:row>35</xdr:row>
      <xdr:rowOff>9525</xdr:rowOff>
    </xdr:to>
    <xdr:sp>
      <xdr:nvSpPr>
        <xdr:cNvPr id="25" name="Line 29"/>
        <xdr:cNvSpPr>
          <a:spLocks/>
        </xdr:cNvSpPr>
      </xdr:nvSpPr>
      <xdr:spPr>
        <a:xfrm>
          <a:off x="533400" y="5676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38</xdr:row>
      <xdr:rowOff>19050</xdr:rowOff>
    </xdr:to>
    <xdr:sp>
      <xdr:nvSpPr>
        <xdr:cNvPr id="26" name="Line 30"/>
        <xdr:cNvSpPr>
          <a:spLocks/>
        </xdr:cNvSpPr>
      </xdr:nvSpPr>
      <xdr:spPr>
        <a:xfrm>
          <a:off x="533400" y="56673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523875</xdr:colOff>
      <xdr:row>38</xdr:row>
      <xdr:rowOff>0</xdr:rowOff>
    </xdr:to>
    <xdr:sp>
      <xdr:nvSpPr>
        <xdr:cNvPr id="27" name="Line 31"/>
        <xdr:cNvSpPr>
          <a:spLocks/>
        </xdr:cNvSpPr>
      </xdr:nvSpPr>
      <xdr:spPr>
        <a:xfrm>
          <a:off x="533400" y="61531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35</xdr:row>
      <xdr:rowOff>0</xdr:rowOff>
    </xdr:from>
    <xdr:to>
      <xdr:col>2</xdr:col>
      <xdr:colOff>523875</xdr:colOff>
      <xdr:row>38</xdr:row>
      <xdr:rowOff>9525</xdr:rowOff>
    </xdr:to>
    <xdr:sp>
      <xdr:nvSpPr>
        <xdr:cNvPr id="28" name="Line 32"/>
        <xdr:cNvSpPr>
          <a:spLocks/>
        </xdr:cNvSpPr>
      </xdr:nvSpPr>
      <xdr:spPr>
        <a:xfrm>
          <a:off x="1590675" y="5667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3</xdr:col>
      <xdr:colOff>0</xdr:colOff>
      <xdr:row>40</xdr:row>
      <xdr:rowOff>9525</xdr:rowOff>
    </xdr:to>
    <xdr:sp>
      <xdr:nvSpPr>
        <xdr:cNvPr id="29" name="Line 33"/>
        <xdr:cNvSpPr>
          <a:spLocks/>
        </xdr:cNvSpPr>
      </xdr:nvSpPr>
      <xdr:spPr>
        <a:xfrm>
          <a:off x="533400" y="64865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>
          <a:off x="533400" y="6477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523875</xdr:colOff>
      <xdr:row>43</xdr:row>
      <xdr:rowOff>0</xdr:rowOff>
    </xdr:to>
    <xdr:sp>
      <xdr:nvSpPr>
        <xdr:cNvPr id="31" name="Line 35"/>
        <xdr:cNvSpPr>
          <a:spLocks/>
        </xdr:cNvSpPr>
      </xdr:nvSpPr>
      <xdr:spPr>
        <a:xfrm>
          <a:off x="533400" y="69627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0</xdr:rowOff>
    </xdr:from>
    <xdr:to>
      <xdr:col>2</xdr:col>
      <xdr:colOff>523875</xdr:colOff>
      <xdr:row>43</xdr:row>
      <xdr:rowOff>9525</xdr:rowOff>
    </xdr:to>
    <xdr:sp>
      <xdr:nvSpPr>
        <xdr:cNvPr id="32" name="Line 36"/>
        <xdr:cNvSpPr>
          <a:spLocks/>
        </xdr:cNvSpPr>
      </xdr:nvSpPr>
      <xdr:spPr>
        <a:xfrm>
          <a:off x="1590675" y="64770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9525</xdr:rowOff>
    </xdr:from>
    <xdr:to>
      <xdr:col>3</xdr:col>
      <xdr:colOff>0</xdr:colOff>
      <xdr:row>45</xdr:row>
      <xdr:rowOff>9525</xdr:rowOff>
    </xdr:to>
    <xdr:sp>
      <xdr:nvSpPr>
        <xdr:cNvPr id="33" name="Line 37"/>
        <xdr:cNvSpPr>
          <a:spLocks/>
        </xdr:cNvSpPr>
      </xdr:nvSpPr>
      <xdr:spPr>
        <a:xfrm>
          <a:off x="533400" y="7296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48</xdr:row>
      <xdr:rowOff>19050</xdr:rowOff>
    </xdr:to>
    <xdr:sp>
      <xdr:nvSpPr>
        <xdr:cNvPr id="34" name="Line 38"/>
        <xdr:cNvSpPr>
          <a:spLocks/>
        </xdr:cNvSpPr>
      </xdr:nvSpPr>
      <xdr:spPr>
        <a:xfrm>
          <a:off x="533400" y="72866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523875</xdr:colOff>
      <xdr:row>48</xdr:row>
      <xdr:rowOff>0</xdr:rowOff>
    </xdr:to>
    <xdr:sp>
      <xdr:nvSpPr>
        <xdr:cNvPr id="35" name="Line 39"/>
        <xdr:cNvSpPr>
          <a:spLocks/>
        </xdr:cNvSpPr>
      </xdr:nvSpPr>
      <xdr:spPr>
        <a:xfrm>
          <a:off x="533400" y="77724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2</xdr:col>
      <xdr:colOff>523875</xdr:colOff>
      <xdr:row>45</xdr:row>
      <xdr:rowOff>0</xdr:rowOff>
    </xdr:from>
    <xdr:to>
      <xdr:col>2</xdr:col>
      <xdr:colOff>523875</xdr:colOff>
      <xdr:row>48</xdr:row>
      <xdr:rowOff>9525</xdr:rowOff>
    </xdr:to>
    <xdr:sp>
      <xdr:nvSpPr>
        <xdr:cNvPr id="36" name="Line 40"/>
        <xdr:cNvSpPr>
          <a:spLocks/>
        </xdr:cNvSpPr>
      </xdr:nvSpPr>
      <xdr:spPr>
        <a:xfrm>
          <a:off x="1590675" y="72866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\Edul\SLAB_TEMPLAE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\Kaleab1\Design\SLAB_TEMPLA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-Ks"/>
      <sheetName val="Slab &amp; Stairca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m-Ks"/>
      <sheetName val="Slab &amp; Stairc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A15" sqref="A15"/>
    </sheetView>
  </sheetViews>
  <sheetFormatPr defaultColWidth="9.33203125" defaultRowHeight="12.75"/>
  <cols>
    <col min="1" max="1" width="9.33203125" style="45" customWidth="1"/>
    <col min="2" max="2" width="9.33203125" style="53" customWidth="1"/>
  </cols>
  <sheetData>
    <row r="1" spans="1:2" ht="12.75">
      <c r="A1" s="51" t="s">
        <v>90</v>
      </c>
      <c r="B1" s="52" t="s">
        <v>91</v>
      </c>
    </row>
    <row r="2" spans="1:2" ht="12.75">
      <c r="A2" s="51" t="s">
        <v>92</v>
      </c>
      <c r="B2" s="52" t="s">
        <v>93</v>
      </c>
    </row>
    <row r="3" spans="1:2" ht="12.75">
      <c r="A3" s="45">
        <v>19</v>
      </c>
      <c r="B3" s="53">
        <v>3.95</v>
      </c>
    </row>
    <row r="4" spans="1:2" ht="12.75">
      <c r="A4" s="45">
        <v>20</v>
      </c>
      <c r="B4" s="53">
        <f>((($B$9-$B$3)*(A4-$A$3))/($A$9-$A$3))+$B$3</f>
        <v>3.956666666666667</v>
      </c>
    </row>
    <row r="5" spans="1:2" ht="12.75">
      <c r="A5" s="45">
        <v>21</v>
      </c>
      <c r="B5" s="53">
        <f>((($B$9-$B$3)*(A5-$A$3))/($A$9-$A$3))+$B$3</f>
        <v>3.9633333333333334</v>
      </c>
    </row>
    <row r="6" spans="1:2" ht="12.75">
      <c r="A6" s="45">
        <v>22</v>
      </c>
      <c r="B6" s="53">
        <f>((($B$9-$B$3)*(A6-$A$3))/($A$9-$A$3))+$B$3</f>
        <v>3.97</v>
      </c>
    </row>
    <row r="7" spans="1:2" ht="12.75">
      <c r="A7" s="45">
        <v>23</v>
      </c>
      <c r="B7" s="53">
        <f>((($B$9-$B$3)*(A7-$A$3))/($A$9-$A$3))+$B$3</f>
        <v>3.976666666666667</v>
      </c>
    </row>
    <row r="8" spans="1:2" ht="12.75">
      <c r="A8" s="45">
        <v>24</v>
      </c>
      <c r="B8" s="53">
        <f>((($B$9-$B$3)*(A8-$A$3))/($A$9-$A$3))+$B$3</f>
        <v>3.9833333333333334</v>
      </c>
    </row>
    <row r="9" spans="1:2" ht="12.75">
      <c r="A9" s="45">
        <v>25</v>
      </c>
      <c r="B9" s="53">
        <v>3.99</v>
      </c>
    </row>
    <row r="10" spans="1:2" ht="12.75">
      <c r="A10" s="45">
        <v>26</v>
      </c>
      <c r="B10" s="53">
        <f>((($B$13-$B$9)*(A10-$A$9))/($A$13-$A$9))+$B$9</f>
        <v>4.0025</v>
      </c>
    </row>
    <row r="11" spans="1:2" ht="12.75">
      <c r="A11" s="45">
        <v>27</v>
      </c>
      <c r="B11" s="53">
        <f>((($B$13-$B$9)*(A11-$A$9))/($A$13-$A$9))+$B$9</f>
        <v>4.015000000000001</v>
      </c>
    </row>
    <row r="12" spans="1:2" ht="12.75">
      <c r="A12" s="45">
        <v>28</v>
      </c>
      <c r="B12" s="53">
        <f>((($B$13-$B$9)*(A12-$A$9))/($A$13-$A$9))+$B$9</f>
        <v>4.0275</v>
      </c>
    </row>
    <row r="13" spans="1:2" ht="12.75">
      <c r="A13" s="45">
        <v>29</v>
      </c>
      <c r="B13" s="53">
        <v>4.04</v>
      </c>
    </row>
    <row r="14" spans="1:2" ht="12.75">
      <c r="A14" s="45">
        <v>30</v>
      </c>
      <c r="B14" s="53">
        <f>((($B$17-$B$13)*(A14-$A$13))/($A$17-$A$13))+$B$13</f>
        <v>4.05</v>
      </c>
    </row>
    <row r="15" spans="1:2" ht="12.75">
      <c r="A15" s="45">
        <v>31</v>
      </c>
      <c r="B15" s="53">
        <f>((($B$17-$B$13)*(A15-$A$13))/($A$17-$A$13))+$B$13</f>
        <v>4.0600000000000005</v>
      </c>
    </row>
    <row r="16" spans="1:2" ht="12.75">
      <c r="A16" s="45">
        <v>32</v>
      </c>
      <c r="B16" s="53">
        <f>((($B$17-$B$13)*(A16-$A$13))/($A$17-$A$13))+$B$13</f>
        <v>4.07</v>
      </c>
    </row>
    <row r="17" spans="1:2" ht="12.75">
      <c r="A17" s="45">
        <v>33</v>
      </c>
      <c r="B17" s="53">
        <v>4.08</v>
      </c>
    </row>
    <row r="18" spans="1:2" ht="12.75">
      <c r="A18" s="45">
        <v>34</v>
      </c>
      <c r="B18" s="53">
        <f>((($B$21-$B$17)*(A18-$A$17))/($A$21-$A$17))+$B$17</f>
        <v>4.09</v>
      </c>
    </row>
    <row r="19" spans="1:2" ht="12.75">
      <c r="A19" s="45">
        <v>35</v>
      </c>
      <c r="B19" s="53">
        <f>((($B$21-$B$17)*(A19-$A$17))/($A$21-$A$17))+$B$17</f>
        <v>4.1</v>
      </c>
    </row>
    <row r="20" spans="1:2" ht="12.75">
      <c r="A20" s="45">
        <v>36</v>
      </c>
      <c r="B20" s="53">
        <f>((($B$21-$B$17)*(A20-$A$17))/($A$21-$A$17))+$B$17</f>
        <v>4.11</v>
      </c>
    </row>
    <row r="21" spans="1:2" ht="12.75">
      <c r="A21" s="45">
        <v>37</v>
      </c>
      <c r="B21" s="53">
        <v>4.12</v>
      </c>
    </row>
    <row r="22" spans="1:2" ht="12.75">
      <c r="A22" s="45">
        <v>38</v>
      </c>
      <c r="B22" s="53">
        <v>4.145</v>
      </c>
    </row>
    <row r="23" spans="1:2" ht="12.75">
      <c r="A23" s="45">
        <v>39</v>
      </c>
      <c r="B23" s="53">
        <v>4.17</v>
      </c>
    </row>
    <row r="24" spans="1:2" ht="12.75">
      <c r="A24" s="45">
        <v>40</v>
      </c>
      <c r="B24" s="53">
        <f>((($B$26-$B$23)*(A24-$A$23))/($A$26-$A$23))+$B$23</f>
        <v>4.183333333333334</v>
      </c>
    </row>
    <row r="25" spans="1:2" ht="12.75">
      <c r="A25" s="45">
        <v>41</v>
      </c>
      <c r="B25" s="53">
        <f>((($B$26-$B$23)*(A25-$A$23))/($A$26-$A$23))+$B$23</f>
        <v>4.196666666666666</v>
      </c>
    </row>
    <row r="26" spans="1:2" ht="12.75">
      <c r="A26" s="45">
        <v>42</v>
      </c>
      <c r="B26" s="53">
        <v>4.21</v>
      </c>
    </row>
    <row r="27" spans="1:2" ht="12.75">
      <c r="A27" s="45">
        <v>43</v>
      </c>
      <c r="B27" s="53">
        <v>4.235</v>
      </c>
    </row>
    <row r="28" spans="1:2" ht="12.75">
      <c r="A28" s="45">
        <v>44</v>
      </c>
      <c r="B28" s="53">
        <v>4.26</v>
      </c>
    </row>
    <row r="29" spans="1:2" ht="12.75">
      <c r="A29" s="45">
        <v>45</v>
      </c>
      <c r="B29" s="53">
        <v>4.285</v>
      </c>
    </row>
    <row r="30" spans="1:2" ht="12.75">
      <c r="A30" s="45">
        <v>46</v>
      </c>
      <c r="B30" s="53">
        <v>4.31</v>
      </c>
    </row>
    <row r="31" spans="1:2" ht="12.75">
      <c r="A31" s="45">
        <v>47</v>
      </c>
      <c r="B31" s="53">
        <v>4.335</v>
      </c>
    </row>
    <row r="32" spans="1:2" ht="12.75">
      <c r="A32" s="45">
        <v>48</v>
      </c>
      <c r="B32" s="53">
        <v>4.36</v>
      </c>
    </row>
    <row r="33" spans="1:2" ht="12.75">
      <c r="A33" s="45">
        <v>49</v>
      </c>
      <c r="B33" s="53">
        <v>4.385</v>
      </c>
    </row>
    <row r="34" spans="1:2" ht="12.75">
      <c r="A34" s="45">
        <v>50</v>
      </c>
      <c r="B34" s="53">
        <v>4.41</v>
      </c>
    </row>
    <row r="35" spans="1:2" ht="12.75">
      <c r="A35" s="45">
        <v>51</v>
      </c>
      <c r="B35" s="53">
        <v>4.46</v>
      </c>
    </row>
    <row r="36" spans="1:2" ht="12.75">
      <c r="A36" s="45">
        <v>52</v>
      </c>
      <c r="B36" s="53">
        <v>4.485</v>
      </c>
    </row>
    <row r="37" spans="1:2" ht="12.75">
      <c r="A37" s="45">
        <v>53</v>
      </c>
      <c r="B37" s="53">
        <v>4.51</v>
      </c>
    </row>
    <row r="38" spans="1:2" ht="12.75">
      <c r="A38" s="45">
        <v>54</v>
      </c>
      <c r="B38" s="53">
        <v>4.56</v>
      </c>
    </row>
    <row r="39" spans="1:2" ht="12.75">
      <c r="A39" s="45">
        <v>55</v>
      </c>
      <c r="B39" s="53">
        <v>4.62</v>
      </c>
    </row>
    <row r="40" spans="1:2" ht="12.75">
      <c r="A40" s="45">
        <v>56</v>
      </c>
      <c r="B40" s="53">
        <v>4.645</v>
      </c>
    </row>
    <row r="41" spans="1:2" ht="12.75">
      <c r="A41" s="45">
        <v>57</v>
      </c>
      <c r="B41" s="53">
        <v>4.67</v>
      </c>
    </row>
    <row r="42" spans="1:2" ht="12.75">
      <c r="A42" s="45">
        <v>58</v>
      </c>
      <c r="B42" s="53">
        <v>4.73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tabSelected="1" workbookViewId="0" topLeftCell="E100">
      <selection activeCell="S128" sqref="S128"/>
    </sheetView>
  </sheetViews>
  <sheetFormatPr defaultColWidth="9.33203125" defaultRowHeight="12.75"/>
  <cols>
    <col min="1" max="1" width="7.66015625" style="0" customWidth="1"/>
    <col min="2" max="2" width="15.33203125" style="0" customWidth="1"/>
    <col min="3" max="3" width="14.66015625" style="0" bestFit="1" customWidth="1"/>
    <col min="4" max="4" width="12" style="0" customWidth="1"/>
    <col min="5" max="5" width="12.33203125" style="0" customWidth="1"/>
    <col min="6" max="6" width="16.16015625" style="0" customWidth="1"/>
    <col min="7" max="7" width="11.66015625" style="0" customWidth="1"/>
    <col min="8" max="8" width="5.33203125" style="0" customWidth="1"/>
    <col min="9" max="9" width="15.16015625" style="0" customWidth="1"/>
    <col min="10" max="10" width="13" style="0" customWidth="1"/>
    <col min="11" max="11" width="12.16015625" style="0" customWidth="1"/>
    <col min="12" max="12" width="11.5" style="0" customWidth="1"/>
    <col min="13" max="13" width="16.33203125" style="0" bestFit="1" customWidth="1"/>
    <col min="14" max="14" width="12.5" style="0" customWidth="1"/>
    <col min="15" max="15" width="2.16015625" style="0" customWidth="1"/>
  </cols>
  <sheetData>
    <row r="1" spans="2:8" ht="18.75">
      <c r="B1" s="1"/>
      <c r="C1" s="1"/>
      <c r="D1" s="1"/>
      <c r="E1" s="1"/>
      <c r="F1" s="1"/>
      <c r="G1" s="1"/>
      <c r="H1" s="14" t="s">
        <v>96</v>
      </c>
    </row>
    <row r="2" spans="2:14" ht="18.75">
      <c r="B2" s="1"/>
      <c r="C2" s="1"/>
      <c r="E2" s="62" t="s">
        <v>84</v>
      </c>
      <c r="F2" s="62"/>
      <c r="G2" s="41">
        <f>+IF(G3+F5+G7+H5=4,1,IF(G3+G7+MAX(F5,H5)=3,2,IF(F5+H5+MAX(G3,G7)=3,3,IF(MAX(G3,G7)+MAX(F5,H5)=2,4,IF(G7+G3=2,5,IF(F5+H5=2,6,IF(G7+G3=1,7,IF(F5+H5=1,8,9))))))))</f>
        <v>4</v>
      </c>
      <c r="H2" s="14"/>
      <c r="L2" s="62" t="s">
        <v>84</v>
      </c>
      <c r="M2" s="62"/>
      <c r="N2" s="41">
        <f>+IF(N3+M5+N7+O5=4,1,IF(N3+N7+MAX(M5,O5)=3,2,IF(M5+O5+MAX(N3,N7)=3,3,IF(MAX(N3,N7)+MAX(M5,O5)=2,4,IF(N7+N3=2,5,IF(M5+O5=2,6,IF(N7+N3=1,7,IF(M5+O5=1,8,9))))))))</f>
        <v>4</v>
      </c>
    </row>
    <row r="3" spans="2:18" s="2" customFormat="1" ht="12.75">
      <c r="B3" s="6" t="s">
        <v>62</v>
      </c>
      <c r="C3" s="21">
        <v>20</v>
      </c>
      <c r="D3" s="6" t="s">
        <v>64</v>
      </c>
      <c r="E3" s="6">
        <f>C3/1.5*0.85</f>
        <v>11.333333333333334</v>
      </c>
      <c r="F3" s="3"/>
      <c r="G3" s="47">
        <v>0</v>
      </c>
      <c r="I3" s="6" t="s">
        <v>62</v>
      </c>
      <c r="J3" s="21">
        <v>20</v>
      </c>
      <c r="K3" s="6" t="s">
        <v>64</v>
      </c>
      <c r="L3" s="6">
        <f>J3/1.5*0.85</f>
        <v>11.333333333333334</v>
      </c>
      <c r="M3" s="3"/>
      <c r="N3" s="47">
        <v>0</v>
      </c>
      <c r="P3" s="2">
        <f>9.63*0.9</f>
        <v>8.667000000000002</v>
      </c>
      <c r="R3" s="2">
        <f>2.74*0.2*14</f>
        <v>7.672000000000001</v>
      </c>
    </row>
    <row r="4" spans="2:14" s="8" customFormat="1" ht="12.75">
      <c r="B4" s="6" t="s">
        <v>63</v>
      </c>
      <c r="C4" s="21">
        <v>300</v>
      </c>
      <c r="D4" s="6" t="s">
        <v>65</v>
      </c>
      <c r="E4" s="6">
        <f>C4/1.15</f>
        <v>260.86956521739125</v>
      </c>
      <c r="G4" s="24"/>
      <c r="I4" s="6" t="s">
        <v>63</v>
      </c>
      <c r="J4" s="21">
        <v>300</v>
      </c>
      <c r="K4" s="6" t="s">
        <v>65</v>
      </c>
      <c r="L4" s="6">
        <f>J4/1.15</f>
        <v>260.86956521739125</v>
      </c>
      <c r="N4" s="17"/>
    </row>
    <row r="5" spans="6:15" s="8" customFormat="1" ht="20.25">
      <c r="F5" s="46">
        <v>1</v>
      </c>
      <c r="G5" s="60" t="s">
        <v>80</v>
      </c>
      <c r="H5" s="48">
        <v>0</v>
      </c>
      <c r="M5" s="46">
        <v>1</v>
      </c>
      <c r="N5" s="60" t="s">
        <v>98</v>
      </c>
      <c r="O5" s="48">
        <v>0</v>
      </c>
    </row>
    <row r="6" spans="2:14" s="8" customFormat="1" ht="11.25">
      <c r="B6" s="9"/>
      <c r="C6" s="9"/>
      <c r="D6" s="9"/>
      <c r="E6" s="9"/>
      <c r="G6" s="18"/>
      <c r="I6" s="9"/>
      <c r="J6" s="9"/>
      <c r="K6" s="9"/>
      <c r="L6" s="9"/>
      <c r="N6" s="18"/>
    </row>
    <row r="7" spans="2:14" s="8" customFormat="1" ht="12.75">
      <c r="B7" s="36" t="s">
        <v>66</v>
      </c>
      <c r="C7" s="36" t="s">
        <v>67</v>
      </c>
      <c r="D7" s="10" t="s">
        <v>0</v>
      </c>
      <c r="E7" s="36" t="s">
        <v>68</v>
      </c>
      <c r="G7" s="49">
        <v>1</v>
      </c>
      <c r="I7" s="36" t="s">
        <v>66</v>
      </c>
      <c r="J7" s="36" t="s">
        <v>67</v>
      </c>
      <c r="K7" s="10" t="s">
        <v>0</v>
      </c>
      <c r="L7" s="36" t="s">
        <v>68</v>
      </c>
      <c r="N7" s="50">
        <v>1</v>
      </c>
    </row>
    <row r="8" spans="2:14" s="8" customFormat="1" ht="11.25">
      <c r="B8" s="7">
        <f>+IF((F5+H5+G3+G7=4),35,IF((F5+H5+G3+G7=0),25,30))</f>
        <v>30</v>
      </c>
      <c r="C8" s="7">
        <f>+IF((F5+H5+G3+G7=4),45,IF(F5+G7+H5+G3=0,35,40))</f>
        <v>40</v>
      </c>
      <c r="D8" s="7">
        <f>D13/C13</f>
        <v>1.75</v>
      </c>
      <c r="E8" s="7">
        <f>IF(G5&lt;&gt;"c",B8*(D8-1)+C8*(2-D8),10)</f>
        <v>32.5</v>
      </c>
      <c r="F8" s="35">
        <v>1</v>
      </c>
      <c r="G8" s="38" t="s">
        <v>77</v>
      </c>
      <c r="I8" s="7">
        <f>+IF((M5+O5+N3+N7=4),35,IF((M5+O5+N3+N7=0),25,30))</f>
        <v>30</v>
      </c>
      <c r="J8" s="7">
        <f>+IF((M5+O5+N3+N7=4),45,IF(M5+N7+O5+N3=0,35,40))</f>
        <v>40</v>
      </c>
      <c r="K8" s="7">
        <f>K13/J13</f>
        <v>1.3076923076923077</v>
      </c>
      <c r="L8" s="7">
        <f>IF(N5&lt;&gt;"c",I8*(K8-1)+J8*(2-K8),10)</f>
        <v>36.92307692307693</v>
      </c>
      <c r="M8" s="35">
        <v>1</v>
      </c>
      <c r="N8" s="38" t="s">
        <v>77</v>
      </c>
    </row>
    <row r="9" spans="2:14" s="8" customFormat="1" ht="11.25">
      <c r="B9" s="5"/>
      <c r="C9" s="5"/>
      <c r="D9" s="5" t="s">
        <v>88</v>
      </c>
      <c r="E9" s="5">
        <f>C13/4</f>
        <v>0.9</v>
      </c>
      <c r="F9" s="35">
        <v>0</v>
      </c>
      <c r="G9" s="38" t="s">
        <v>76</v>
      </c>
      <c r="I9" s="5"/>
      <c r="J9" s="5" t="s">
        <v>88</v>
      </c>
      <c r="K9" s="5">
        <f>J13/4</f>
        <v>0.8125</v>
      </c>
      <c r="L9" s="5"/>
      <c r="M9" s="35">
        <v>0</v>
      </c>
      <c r="N9" s="38" t="s">
        <v>76</v>
      </c>
    </row>
    <row r="10" spans="2:14" s="8" customFormat="1" ht="11.25">
      <c r="B10" s="4"/>
      <c r="C10" s="4"/>
      <c r="D10" s="5"/>
      <c r="E10" s="5"/>
      <c r="F10" s="5"/>
      <c r="G10" s="5"/>
      <c r="I10" s="4"/>
      <c r="J10" s="4"/>
      <c r="K10" s="5"/>
      <c r="L10" s="5"/>
      <c r="M10" s="5"/>
      <c r="N10" s="5"/>
    </row>
    <row r="11" spans="2:14" s="8" customFormat="1" ht="11.25" customHeight="1">
      <c r="B11" s="7" t="s">
        <v>79</v>
      </c>
      <c r="C11" s="10" t="str">
        <f>+G5</f>
        <v>S-1</v>
      </c>
      <c r="D11" s="6" t="s">
        <v>101</v>
      </c>
      <c r="E11" s="6"/>
      <c r="F11" s="6"/>
      <c r="G11" s="7" t="s">
        <v>74</v>
      </c>
      <c r="I11" s="7" t="s">
        <v>79</v>
      </c>
      <c r="J11" s="10" t="str">
        <f>+N5</f>
        <v>S-5</v>
      </c>
      <c r="K11" s="6"/>
      <c r="L11" s="6"/>
      <c r="M11" s="6"/>
      <c r="N11" s="7" t="s">
        <v>74</v>
      </c>
    </row>
    <row r="12" spans="2:14" s="8" customFormat="1" ht="13.5">
      <c r="B12" s="7" t="s">
        <v>1</v>
      </c>
      <c r="C12" s="7" t="s">
        <v>70</v>
      </c>
      <c r="D12" s="7" t="s">
        <v>71</v>
      </c>
      <c r="E12" s="34" t="s">
        <v>72</v>
      </c>
      <c r="F12" s="7" t="s">
        <v>73</v>
      </c>
      <c r="G12" s="6">
        <f>ROUND((F13+G19+B33/2)+5,-1)</f>
        <v>120</v>
      </c>
      <c r="I12" s="7" t="s">
        <v>1</v>
      </c>
      <c r="J12" s="7" t="s">
        <v>70</v>
      </c>
      <c r="K12" s="7" t="s">
        <v>71</v>
      </c>
      <c r="L12" s="34" t="s">
        <v>72</v>
      </c>
      <c r="M12" s="7" t="s">
        <v>75</v>
      </c>
      <c r="N12" s="6">
        <f>ROUND((M13+N19+I33/2)+5,-1)</f>
        <v>100</v>
      </c>
    </row>
    <row r="13" spans="2:14" s="8" customFormat="1" ht="11.25">
      <c r="B13" s="11"/>
      <c r="C13" s="16">
        <v>3.6</v>
      </c>
      <c r="D13" s="16">
        <v>6.3</v>
      </c>
      <c r="E13" s="6">
        <f>E8</f>
        <v>32.5</v>
      </c>
      <c r="F13" s="6">
        <f>((0.4+0.6*C$4/400)*(C13/E13))*1000</f>
        <v>94.15384615384617</v>
      </c>
      <c r="G13" s="39">
        <v>150</v>
      </c>
      <c r="I13" s="11"/>
      <c r="J13" s="16">
        <v>3.25</v>
      </c>
      <c r="K13" s="16">
        <v>4.25</v>
      </c>
      <c r="L13" s="6">
        <f>L8</f>
        <v>36.92307692307693</v>
      </c>
      <c r="M13" s="6">
        <f>((0.4+0.6*J$4/400)*(J13/L13))*1000</f>
        <v>74.81770833333333</v>
      </c>
      <c r="N13" s="39">
        <v>150</v>
      </c>
    </row>
    <row r="14" spans="2:14" s="8" customFormat="1" ht="11.25">
      <c r="B14" s="7" t="s">
        <v>2</v>
      </c>
      <c r="C14" s="7" t="s">
        <v>86</v>
      </c>
      <c r="D14" s="7" t="s">
        <v>97</v>
      </c>
      <c r="E14" s="7" t="s">
        <v>3</v>
      </c>
      <c r="F14" s="7" t="s">
        <v>58</v>
      </c>
      <c r="G14" s="7" t="s">
        <v>4</v>
      </c>
      <c r="I14" s="7" t="s">
        <v>2</v>
      </c>
      <c r="J14" s="7" t="s">
        <v>86</v>
      </c>
      <c r="K14" s="7" t="s">
        <v>97</v>
      </c>
      <c r="L14" s="7" t="s">
        <v>3</v>
      </c>
      <c r="M14" s="7" t="s">
        <v>58</v>
      </c>
      <c r="N14" s="7" t="s">
        <v>87</v>
      </c>
    </row>
    <row r="15" spans="2:14" s="8" customFormat="1" ht="11.25">
      <c r="B15" s="6"/>
      <c r="C15" s="20">
        <f>21*0.003</f>
        <v>0.063</v>
      </c>
      <c r="D15" s="20">
        <f>0.03*23</f>
        <v>0.69</v>
      </c>
      <c r="E15" s="6">
        <f>G13/1000*25</f>
        <v>3.75</v>
      </c>
      <c r="F15" s="20">
        <f>23*0.02</f>
        <v>0.46</v>
      </c>
      <c r="G15" s="6">
        <v>0</v>
      </c>
      <c r="I15" s="6"/>
      <c r="J15" s="20">
        <f>16*0.003</f>
        <v>0.048</v>
      </c>
      <c r="K15" s="20">
        <f>0.03*23</f>
        <v>0.69</v>
      </c>
      <c r="L15" s="6">
        <f>N13/1000*25</f>
        <v>3.75</v>
      </c>
      <c r="M15" s="20">
        <f>23*0.02</f>
        <v>0.46</v>
      </c>
      <c r="N15" s="6">
        <v>0</v>
      </c>
    </row>
    <row r="16" spans="2:14" s="8" customFormat="1" ht="11.25">
      <c r="B16" s="7" t="s">
        <v>5</v>
      </c>
      <c r="C16" s="7" t="s">
        <v>94</v>
      </c>
      <c r="D16" s="7" t="s">
        <v>95</v>
      </c>
      <c r="E16" s="7" t="s">
        <v>59</v>
      </c>
      <c r="F16" s="7" t="s">
        <v>23</v>
      </c>
      <c r="G16" s="7" t="s">
        <v>6</v>
      </c>
      <c r="I16" s="7" t="s">
        <v>5</v>
      </c>
      <c r="J16" s="7" t="s">
        <v>94</v>
      </c>
      <c r="K16" s="7" t="s">
        <v>95</v>
      </c>
      <c r="L16" s="7" t="s">
        <v>59</v>
      </c>
      <c r="M16" s="7" t="s">
        <v>23</v>
      </c>
      <c r="N16" s="7" t="s">
        <v>6</v>
      </c>
    </row>
    <row r="17" spans="2:14" s="8" customFormat="1" ht="11.25">
      <c r="B17" s="6"/>
      <c r="C17" s="16">
        <f>2.55+1.85</f>
        <v>4.4</v>
      </c>
      <c r="D17" s="16">
        <v>0.1</v>
      </c>
      <c r="E17" s="16">
        <v>2.85</v>
      </c>
      <c r="F17" s="20">
        <f>14*D17*E17+23*0.05*E17</f>
        <v>7.267500000000001</v>
      </c>
      <c r="G17" s="6">
        <f>F17*C17/(C13*D13)</f>
        <v>1.4099206349206352</v>
      </c>
      <c r="I17" s="6"/>
      <c r="J17" s="16">
        <v>0</v>
      </c>
      <c r="K17" s="16">
        <v>0.1</v>
      </c>
      <c r="L17" s="16">
        <v>2.8</v>
      </c>
      <c r="M17" s="20">
        <f>10*K17*L17+23*0.05*L17</f>
        <v>6.02</v>
      </c>
      <c r="N17" s="6">
        <f>M17*J17/(J13*K13)</f>
        <v>0</v>
      </c>
    </row>
    <row r="18" spans="2:14" s="8" customFormat="1" ht="11.25" customHeight="1">
      <c r="B18" s="7" t="s">
        <v>7</v>
      </c>
      <c r="C18" s="6"/>
      <c r="D18" s="6"/>
      <c r="E18" s="7">
        <f>+C15+D15+E15+F15+G15+G17</f>
        <v>6.372920634920636</v>
      </c>
      <c r="F18" s="6"/>
      <c r="G18" s="31" t="s">
        <v>69</v>
      </c>
      <c r="I18" s="7" t="s">
        <v>7</v>
      </c>
      <c r="J18" s="6"/>
      <c r="K18" s="6"/>
      <c r="L18" s="54">
        <f>+J15+K15+L15+M15+N15+N17</f>
        <v>4.9479999999999995</v>
      </c>
      <c r="M18" s="6"/>
      <c r="N18" s="31" t="s">
        <v>69</v>
      </c>
    </row>
    <row r="19" spans="2:14" s="8" customFormat="1" ht="11.25" customHeight="1">
      <c r="B19" s="7" t="s">
        <v>8</v>
      </c>
      <c r="C19" s="11"/>
      <c r="D19" s="6"/>
      <c r="E19" s="21">
        <v>2</v>
      </c>
      <c r="F19" s="6"/>
      <c r="G19" s="32">
        <v>15</v>
      </c>
      <c r="I19" s="7" t="s">
        <v>8</v>
      </c>
      <c r="J19" s="55"/>
      <c r="K19" s="6"/>
      <c r="L19" s="21">
        <v>2</v>
      </c>
      <c r="M19" s="6"/>
      <c r="N19" s="32">
        <v>15</v>
      </c>
    </row>
    <row r="20" spans="2:14" s="8" customFormat="1" ht="11.25" customHeight="1">
      <c r="B20" s="7" t="s">
        <v>9</v>
      </c>
      <c r="C20" s="7"/>
      <c r="D20" s="6"/>
      <c r="E20" s="7">
        <f>1.3*E18+1.6*E19</f>
        <v>11.484796825396828</v>
      </c>
      <c r="F20" s="6"/>
      <c r="G20" s="6"/>
      <c r="I20" s="7" t="s">
        <v>9</v>
      </c>
      <c r="J20" s="7"/>
      <c r="K20" s="6"/>
      <c r="L20" s="7">
        <f>1.3*L18+1.6*L19</f>
        <v>9.6324</v>
      </c>
      <c r="M20" s="6"/>
      <c r="N20" s="6"/>
    </row>
    <row r="21" spans="2:14" s="8" customFormat="1" ht="11.25" customHeight="1">
      <c r="B21" s="22" t="s">
        <v>22</v>
      </c>
      <c r="C21" s="23" t="s">
        <v>24</v>
      </c>
      <c r="D21" s="22" t="s">
        <v>25</v>
      </c>
      <c r="E21" s="23" t="s">
        <v>26</v>
      </c>
      <c r="F21" s="22" t="s">
        <v>27</v>
      </c>
      <c r="G21" s="22" t="s">
        <v>30</v>
      </c>
      <c r="I21" s="22" t="s">
        <v>22</v>
      </c>
      <c r="J21" s="23" t="s">
        <v>24</v>
      </c>
      <c r="K21" s="22" t="s">
        <v>25</v>
      </c>
      <c r="L21" s="23" t="s">
        <v>26</v>
      </c>
      <c r="M21" s="22" t="s">
        <v>27</v>
      </c>
      <c r="N21" s="22" t="s">
        <v>30</v>
      </c>
    </row>
    <row r="22" spans="2:14" s="8" customFormat="1" ht="11.25" customHeight="1">
      <c r="B22" s="7"/>
      <c r="C22" s="39">
        <f>+IF(F5=1,1.33333333333333,IF(F5&lt;&gt;0,"check data !!! ",0))</f>
        <v>1.33333333333333</v>
      </c>
      <c r="D22" s="39">
        <f>+IF(H5=1,1.33333333333333,IF(H5&lt;&gt;0,"check data !!!",0))</f>
        <v>0</v>
      </c>
      <c r="E22" s="39">
        <f>+IF(G3=1,1.33333333333333,IF(G3&lt;&gt;0,"check data !!!",0))</f>
        <v>0</v>
      </c>
      <c r="F22" s="39">
        <f>+IF(G7=1,1.33333333333333,IF(G7&lt;&gt;0,"check data !!!",0))</f>
        <v>1.33333333333333</v>
      </c>
      <c r="G22" s="39">
        <f>IF((4-G7-H5-G3-F5)&lt;0,"check data !!!",4-G7-H5-G3-F5)</f>
        <v>2</v>
      </c>
      <c r="I22" s="15"/>
      <c r="J22" s="39">
        <f>+IF(M5=1,1.33333333333333,IF(M5&lt;&gt;0,"check data !!! ",0))</f>
        <v>1.33333333333333</v>
      </c>
      <c r="K22" s="39">
        <f>+IF(O5=1,1.33333333333333,IF(O5&lt;&gt;0,"check data !!!",0))</f>
        <v>0</v>
      </c>
      <c r="L22" s="39">
        <f>+IF(N3=1,1.33333333333333,IF(N3&lt;&gt;0,"check data !!!",0))</f>
        <v>0</v>
      </c>
      <c r="M22" s="39">
        <f>+IF(N7=1,1.33333333333333,IF(N7&lt;&gt;0,"check data !!!",0))</f>
        <v>1.33333333333333</v>
      </c>
      <c r="N22" s="39">
        <f>IF((4-N7-O5-N3-M5)&lt;0,"check data !!!",4-N7-O5-N3-M5)</f>
        <v>2</v>
      </c>
    </row>
    <row r="23" spans="2:14" s="8" customFormat="1" ht="11.25" customHeight="1">
      <c r="B23" s="7" t="s">
        <v>10</v>
      </c>
      <c r="C23" s="33" t="s">
        <v>53</v>
      </c>
      <c r="D23" s="33" t="s">
        <v>50</v>
      </c>
      <c r="E23" s="33" t="s">
        <v>51</v>
      </c>
      <c r="F23" s="33" t="s">
        <v>52</v>
      </c>
      <c r="G23" s="27" t="s">
        <v>28</v>
      </c>
      <c r="I23" s="7" t="s">
        <v>10</v>
      </c>
      <c r="J23" s="33" t="s">
        <v>53</v>
      </c>
      <c r="K23" s="33" t="s">
        <v>50</v>
      </c>
      <c r="L23" s="33" t="s">
        <v>51</v>
      </c>
      <c r="M23" s="33" t="s">
        <v>52</v>
      </c>
      <c r="N23" s="27" t="s">
        <v>28</v>
      </c>
    </row>
    <row r="24" spans="2:14" s="8" customFormat="1" ht="11.25" customHeight="1">
      <c r="B24" s="7"/>
      <c r="C24" s="12">
        <f>IF(E22&lt;&gt;0,ROUND(4/3*E24,3),IF(F22=0,"0.00",ROUND(4/3*E24,3)))</f>
        <v>0.087</v>
      </c>
      <c r="D24" s="12">
        <f>IF(C22&lt;&gt;0,ROUND(4/3*F24,3),IF(D22=0,"0.00",ROUND(4/3*F24,3)))</f>
        <v>0.045</v>
      </c>
      <c r="E24" s="12">
        <f>+ROUND(G24/(SQRT(1+E22)+SQRT(1+F22))^2,3)</f>
        <v>0.065</v>
      </c>
      <c r="F24" s="12">
        <f>+ROUND((24+2*G22+1.5*(G22*G22))/1000,3)</f>
        <v>0.034</v>
      </c>
      <c r="G24" s="6">
        <f>0.666666666666667*(1-(C13/D13*SQRT(2*F24)*(SQRT(1+C22)+SQRT(1+D22))))</f>
        <v>0.4155817360853983</v>
      </c>
      <c r="I24" s="7"/>
      <c r="J24" s="12">
        <f>IF(L22&lt;&gt;0,ROUND(4/3*L24,3),IF(M22=0,"0.00",ROUND(4/3*L24,3)))</f>
        <v>0.069</v>
      </c>
      <c r="K24" s="12">
        <f>IF(J22&lt;&gt;0,ROUND(4/3*M24,3),IF(K22=0,"0.00",ROUND(4/3*M24,3)))</f>
        <v>0.045</v>
      </c>
      <c r="L24" s="12">
        <f>+ROUND(N24/(SQRT(1+L22)+SQRT(1+M22))^2,3)</f>
        <v>0.052</v>
      </c>
      <c r="M24" s="12">
        <f>+ROUND((24+2*N22+1.5*(N22*N22))/1000,3)</f>
        <v>0.034</v>
      </c>
      <c r="N24" s="6">
        <f>0.666666666666667*(1-(J13/K13*SQRT(2*M24)*(SQRT(1+J22)+SQRT(1+K22))))</f>
        <v>0.330655950741734</v>
      </c>
    </row>
    <row r="25" spans="2:14" s="8" customFormat="1" ht="11.25" customHeight="1"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15</v>
      </c>
      <c r="G25" s="6"/>
      <c r="I25" s="7" t="s">
        <v>11</v>
      </c>
      <c r="J25" s="7" t="s">
        <v>12</v>
      </c>
      <c r="K25" s="7" t="s">
        <v>13</v>
      </c>
      <c r="L25" s="7" t="s">
        <v>14</v>
      </c>
      <c r="M25" s="7" t="s">
        <v>15</v>
      </c>
      <c r="N25" s="6"/>
    </row>
    <row r="26" spans="2:14" s="8" customFormat="1" ht="11.25" customHeight="1">
      <c r="B26" s="6"/>
      <c r="C26" s="6">
        <f>C24*E20*C13*C13</f>
        <v>12.94933811657143</v>
      </c>
      <c r="D26" s="6">
        <f>D24*E20*C13*C13</f>
        <v>6.69793350857143</v>
      </c>
      <c r="E26" s="6">
        <f>E24*E20*C13*C13</f>
        <v>9.674792845714288</v>
      </c>
      <c r="F26" s="6">
        <f>F24*E20*C13*C13</f>
        <v>5.060660873142859</v>
      </c>
      <c r="G26" s="6"/>
      <c r="I26" s="6"/>
      <c r="J26" s="6">
        <f>J24*L20*J13*J13</f>
        <v>7.020213525000002</v>
      </c>
      <c r="K26" s="6">
        <f>K24*L20*J13*J13</f>
        <v>4.578400125</v>
      </c>
      <c r="L26" s="6">
        <f>L24*L20*J13*J13</f>
        <v>5.2905957</v>
      </c>
      <c r="M26" s="6">
        <f>M24*L20*J13*J13</f>
        <v>3.4592356500000006</v>
      </c>
      <c r="N26" s="6"/>
    </row>
    <row r="27" spans="2:14" s="8" customFormat="1" ht="11.25" customHeight="1">
      <c r="B27" s="6" t="s">
        <v>16</v>
      </c>
      <c r="C27" s="10">
        <f>ROUND(C26/(1*((G13-G19-B33/2)/1000)^2)+5,-1)</f>
        <v>760</v>
      </c>
      <c r="D27" s="10">
        <f>ROUND(D26/(1*((G13-G19-B33/2)/1000)^2)+5,-1)</f>
        <v>400</v>
      </c>
      <c r="E27" s="10">
        <f>ROUND(E26/(1*((G13-G19-B33/2)/1000)^2)+5,-1)</f>
        <v>570</v>
      </c>
      <c r="F27" s="10">
        <f>ROUND(F26/(1*((G13-G19-B33/2)/1000)^2)+5,-1)</f>
        <v>300</v>
      </c>
      <c r="G27" s="10">
        <f>0.8+1.2</f>
        <v>2</v>
      </c>
      <c r="I27" s="6" t="s">
        <v>16</v>
      </c>
      <c r="J27" s="10">
        <f>ROUND(J26/(1*((N13-N19-I33/2)/1000)^2)+5,-1)</f>
        <v>410</v>
      </c>
      <c r="K27" s="10">
        <f>ROUND(K26/(1*((N13-N19-I33/2)/1000)^2)+5,-1)</f>
        <v>270</v>
      </c>
      <c r="L27" s="10">
        <f>ROUND(L26/(1*((N13-N19-I33/2)/1000)^2)+5,-1)</f>
        <v>310</v>
      </c>
      <c r="M27" s="10">
        <f>ROUND(M26/(1*((N13-N19-I33/2)/1000)^2)+5,-1)</f>
        <v>210</v>
      </c>
      <c r="N27" s="10"/>
    </row>
    <row r="28" spans="2:14" s="8" customFormat="1" ht="11.25" customHeight="1">
      <c r="B28" s="13" t="s">
        <v>17</v>
      </c>
      <c r="C28" s="37">
        <f>100*E3/E4*(1-SQRT(1-2*C26*1000000/(E3*1000*(G13-G19-B33/2)^2)))</f>
        <v>0.29958486954761937</v>
      </c>
      <c r="D28" s="37">
        <f>100*E3/E4*(1-SQRT(1-2*D26*1000000/(E3*1000*(G13-G19-B33/2)^2)))</f>
        <v>0.15228386191532148</v>
      </c>
      <c r="E28" s="37">
        <f>100*E3/E4*(1-SQRT(1-2*E26*1000000/(E3*1000*(G13-G19-B33/2)^2)))</f>
        <v>0.22177076475569824</v>
      </c>
      <c r="F28" s="37">
        <f>100*E3/E4*(1-SQRT(1-2*F26*1000000/(E3*1000*(G13-G19-B33/2)^2)))</f>
        <v>0.11455260256564419</v>
      </c>
      <c r="G28" s="6"/>
      <c r="I28" s="13" t="s">
        <v>17</v>
      </c>
      <c r="J28" s="37">
        <f>100*L3/L4*(1-SQRT(1-2*J26*1000000/(L3*1000*(N13-N19-I33/2)^2)))</f>
        <v>0.1597509395094001</v>
      </c>
      <c r="K28" s="37">
        <f>100*L3/L4*(1-SQRT(1-2*K26*1000000/(L3*1000*(N13-N19-I33/2)^2)))</f>
        <v>0.10350281294736872</v>
      </c>
      <c r="L28" s="37">
        <f>100*L3/L4*(1-SQRT(1-2*L26*1000000/(L3*1000*(N13-N19-I33/2)^2)))</f>
        <v>0.11983115453984697</v>
      </c>
      <c r="M28" s="37">
        <f>100*L3/L4*(1-SQRT(1-2*M26*1000000/(L3*1000*(N13-N19-I33/2)^2)))</f>
        <v>0.07797024519300703</v>
      </c>
      <c r="N28" s="6"/>
    </row>
    <row r="29" spans="2:14" s="8" customFormat="1" ht="11.25" customHeight="1">
      <c r="B29" s="6" t="s">
        <v>35</v>
      </c>
      <c r="C29" s="10">
        <f>ROUND(0.5/300*1000*($G13-$G19-$B33/2),0)</f>
        <v>218</v>
      </c>
      <c r="D29" s="10">
        <f>ROUND(0.5/300*1000*($G13-$G19-$B33/2),0)</f>
        <v>218</v>
      </c>
      <c r="E29" s="10">
        <f>ROUND(0.5/300*1000*($G13-$G19-$B33/2),0)</f>
        <v>218</v>
      </c>
      <c r="F29" s="10">
        <f>ROUND(0.5/300*1000*($G13-$G19-$B33/2),0)</f>
        <v>218</v>
      </c>
      <c r="G29" s="6"/>
      <c r="I29" s="6" t="s">
        <v>18</v>
      </c>
      <c r="J29" s="10">
        <f>ROUND(0.5/300*1000*($N13-$N19-$I33/2),0)</f>
        <v>218</v>
      </c>
      <c r="K29" s="10">
        <f>ROUND(0.5/300*1000*($N13-$N19-$I33/2),0)</f>
        <v>218</v>
      </c>
      <c r="L29" s="10">
        <f>ROUND(0.5/300*1000*($N13-$N19-$I33/2),0)</f>
        <v>218</v>
      </c>
      <c r="M29" s="10">
        <f>ROUND(0.5/300*1000*($N13-$N19-$I33/2),0)</f>
        <v>218</v>
      </c>
      <c r="N29" s="6"/>
    </row>
    <row r="30" spans="2:14" s="8" customFormat="1" ht="11.25" customHeight="1">
      <c r="B30" s="6" t="s">
        <v>36</v>
      </c>
      <c r="C30" s="40">
        <f>C28*1000*($G13-$G19-$B33/2)/100</f>
        <v>392.45617910738133</v>
      </c>
      <c r="D30" s="40">
        <f>D28*1000*($G13-$G19-$B33/2)/100</f>
        <v>199.49185910907113</v>
      </c>
      <c r="E30" s="40">
        <f>E28*1000*($G13-$G19-$B33/2)/100</f>
        <v>290.5197018299647</v>
      </c>
      <c r="F30" s="40">
        <f>F28*1000*($G13-$G19-$B33/2)/100</f>
        <v>150.0639093609939</v>
      </c>
      <c r="G30" s="6"/>
      <c r="I30" s="6" t="s">
        <v>19</v>
      </c>
      <c r="J30" s="40">
        <f>J28*1000*($N13-$N19-$I33/2)/100</f>
        <v>209.27373075731413</v>
      </c>
      <c r="K30" s="40">
        <f>K28*1000*($N13-$N19-$I33/2)/100</f>
        <v>135.58868496105302</v>
      </c>
      <c r="L30" s="40">
        <f>L28*1000*($N13-$N19-$I33/2)/100</f>
        <v>156.97881244719952</v>
      </c>
      <c r="M30" s="40">
        <f>M28*1000*($N13-$N19-$I33/2)/100</f>
        <v>102.14102120283923</v>
      </c>
      <c r="N30" s="6"/>
    </row>
    <row r="31" spans="2:14" s="8" customFormat="1" ht="11.25" customHeight="1">
      <c r="B31" s="6" t="s">
        <v>37</v>
      </c>
      <c r="C31" s="40">
        <f>+MAX(C29:C30)</f>
        <v>392.45617910738133</v>
      </c>
      <c r="D31" s="40">
        <f>+MAX(D29:D30)</f>
        <v>218</v>
      </c>
      <c r="E31" s="40">
        <f>+MAX(E29:E30)</f>
        <v>290.5197018299647</v>
      </c>
      <c r="F31" s="40">
        <f>+MAX(F29:F30)</f>
        <v>218</v>
      </c>
      <c r="G31" s="6"/>
      <c r="I31" s="6" t="s">
        <v>20</v>
      </c>
      <c r="J31" s="40">
        <f>+MAX(J29:J30)</f>
        <v>218</v>
      </c>
      <c r="K31" s="40">
        <f>+MAX(K29:K30)</f>
        <v>218</v>
      </c>
      <c r="L31" s="40">
        <f>+MAX(L29:L30)</f>
        <v>218</v>
      </c>
      <c r="M31" s="40">
        <f>+MAX(M29:M30)</f>
        <v>218</v>
      </c>
      <c r="N31" s="6"/>
    </row>
    <row r="32" spans="2:14" s="8" customFormat="1" ht="11.25" customHeight="1">
      <c r="B32" s="26" t="s">
        <v>38</v>
      </c>
      <c r="C32" s="10" t="s">
        <v>21</v>
      </c>
      <c r="D32" s="10" t="s">
        <v>21</v>
      </c>
      <c r="E32" s="10" t="s">
        <v>21</v>
      </c>
      <c r="F32" s="10" t="s">
        <v>21</v>
      </c>
      <c r="G32" s="6"/>
      <c r="I32" s="26" t="s">
        <v>29</v>
      </c>
      <c r="J32" s="10" t="s">
        <v>21</v>
      </c>
      <c r="K32" s="10" t="s">
        <v>21</v>
      </c>
      <c r="L32" s="10" t="s">
        <v>21</v>
      </c>
      <c r="M32" s="10" t="s">
        <v>21</v>
      </c>
      <c r="N32" s="6"/>
    </row>
    <row r="33" spans="2:14" s="8" customFormat="1" ht="11.25" customHeight="1">
      <c r="B33" s="16">
        <v>8</v>
      </c>
      <c r="C33" s="10">
        <f>ROUND(1000/C36+0.5,0)+1</f>
        <v>10</v>
      </c>
      <c r="D33" s="10">
        <f>ROUND(1000/D36+0.5,0)+1</f>
        <v>6</v>
      </c>
      <c r="E33" s="10">
        <f>ROUND(1000/E36+0.5,0)+1</f>
        <v>7</v>
      </c>
      <c r="F33" s="10">
        <f>ROUND(1000/F36+0.5,0)+1</f>
        <v>6</v>
      </c>
      <c r="G33" s="6"/>
      <c r="I33" s="16">
        <v>8</v>
      </c>
      <c r="J33" s="10">
        <f>ROUND(1000/J36+0.5,0)+1</f>
        <v>6</v>
      </c>
      <c r="K33" s="10">
        <f>ROUND(1000/K36+0.5,0)+1</f>
        <v>6</v>
      </c>
      <c r="L33" s="10">
        <f>ROUND(1000/L36+0.5,0)+1</f>
        <v>6</v>
      </c>
      <c r="M33" s="10">
        <f>ROUND(1000/M36+0.5,0)+1</f>
        <v>6</v>
      </c>
      <c r="N33" s="6"/>
    </row>
    <row r="34" spans="2:14" s="8" customFormat="1" ht="11.25" customHeight="1">
      <c r="B34" s="25" t="s">
        <v>31</v>
      </c>
      <c r="C34" s="10">
        <f>2*G13</f>
        <v>300</v>
      </c>
      <c r="D34" s="10">
        <f>2*G13</f>
        <v>300</v>
      </c>
      <c r="E34" s="10">
        <f>2*G13</f>
        <v>300</v>
      </c>
      <c r="F34" s="10">
        <f>2*G13</f>
        <v>300</v>
      </c>
      <c r="G34" s="6"/>
      <c r="I34" s="25" t="s">
        <v>31</v>
      </c>
      <c r="J34" s="10">
        <f>2*N13</f>
        <v>300</v>
      </c>
      <c r="K34" s="10">
        <f>2*N13</f>
        <v>300</v>
      </c>
      <c r="L34" s="10">
        <f>2*N13</f>
        <v>300</v>
      </c>
      <c r="M34" s="10">
        <f>2*N13</f>
        <v>300</v>
      </c>
      <c r="N34" s="6"/>
    </row>
    <row r="35" spans="2:14" s="8" customFormat="1" ht="11.25" customHeight="1">
      <c r="B35" s="25" t="s">
        <v>34</v>
      </c>
      <c r="C35" s="6">
        <f>ROUND((1000*PI()*(B33^2/4))/C31-5,-1)</f>
        <v>120</v>
      </c>
      <c r="D35" s="6">
        <f>ROUND((1000*PI()*(B33^2/4))/D31-5,-1)</f>
        <v>230</v>
      </c>
      <c r="E35" s="6">
        <f>ROUND((1000*PI()*(B33^2/4))/E31-5,-1)</f>
        <v>170</v>
      </c>
      <c r="F35" s="6">
        <f>ROUND((1000*PI()*(B33^2/4))/F31-5,-1)</f>
        <v>230</v>
      </c>
      <c r="G35" s="6"/>
      <c r="I35" s="25" t="s">
        <v>32</v>
      </c>
      <c r="J35" s="6">
        <f>ROUND((1000*PI()*(I33^2/4))/J31-5,-1)</f>
        <v>230</v>
      </c>
      <c r="K35" s="6">
        <f>ROUND((1000*PI()*(I33^2/4))/K31-5,-1)</f>
        <v>230</v>
      </c>
      <c r="L35" s="6">
        <f>ROUND((1000*PI()*(I33^2/4))/L31-5,-1)</f>
        <v>230</v>
      </c>
      <c r="M35" s="6">
        <f>ROUND((1000*PI()*(I33^2/4))/M31-5,-1)</f>
        <v>230</v>
      </c>
      <c r="N35" s="6"/>
    </row>
    <row r="36" spans="2:14" s="8" customFormat="1" ht="11.25" customHeight="1">
      <c r="B36" s="25" t="s">
        <v>33</v>
      </c>
      <c r="C36" s="6">
        <f>MIN(C34:C35)</f>
        <v>120</v>
      </c>
      <c r="D36" s="6">
        <f>MIN(D34:D35)</f>
        <v>230</v>
      </c>
      <c r="E36" s="6">
        <f>MIN(E34:E35)</f>
        <v>170</v>
      </c>
      <c r="F36" s="6">
        <f>MIN(F34:F35)</f>
        <v>230</v>
      </c>
      <c r="G36" s="6"/>
      <c r="I36" s="25" t="s">
        <v>33</v>
      </c>
      <c r="J36" s="6">
        <f>MIN(J34:J35)</f>
        <v>230</v>
      </c>
      <c r="K36" s="6">
        <f>MIN(K34:K35)</f>
        <v>230</v>
      </c>
      <c r="L36" s="6">
        <f>MIN(L34:L35)</f>
        <v>230</v>
      </c>
      <c r="M36" s="6">
        <f>MIN(M34:M35)</f>
        <v>230</v>
      </c>
      <c r="N36" s="6"/>
    </row>
    <row r="37" spans="2:14" s="8" customFormat="1" ht="15.75">
      <c r="B37" s="25"/>
      <c r="C37" s="61" t="s">
        <v>45</v>
      </c>
      <c r="D37" s="61"/>
      <c r="E37" s="61"/>
      <c r="F37" s="43" t="s">
        <v>83</v>
      </c>
      <c r="G37" s="44">
        <f>+D8</f>
        <v>1.75</v>
      </c>
      <c r="I37" s="25"/>
      <c r="J37" s="61" t="s">
        <v>45</v>
      </c>
      <c r="K37" s="61"/>
      <c r="L37" s="61"/>
      <c r="M37" s="43" t="s">
        <v>83</v>
      </c>
      <c r="N37" s="44">
        <f>+K8</f>
        <v>1.3076923076923077</v>
      </c>
    </row>
    <row r="38" spans="2:14" s="19" customFormat="1" ht="11.25" customHeight="1">
      <c r="B38" s="29" t="s">
        <v>44</v>
      </c>
      <c r="C38" s="34" t="s">
        <v>54</v>
      </c>
      <c r="D38" s="34" t="s">
        <v>55</v>
      </c>
      <c r="E38" s="34" t="s">
        <v>56</v>
      </c>
      <c r="F38" s="34" t="s">
        <v>57</v>
      </c>
      <c r="G38" s="10"/>
      <c r="I38" s="29" t="s">
        <v>44</v>
      </c>
      <c r="J38" s="34" t="s">
        <v>54</v>
      </c>
      <c r="K38" s="34" t="s">
        <v>55</v>
      </c>
      <c r="L38" s="34" t="s">
        <v>56</v>
      </c>
      <c r="M38" s="34" t="s">
        <v>57</v>
      </c>
      <c r="N38" s="10"/>
    </row>
    <row r="39" spans="2:14" s="8" customFormat="1" ht="11.25" customHeight="1">
      <c r="B39" s="28"/>
      <c r="C39" s="37">
        <f>+IF(G2=2,0.667-5/(18*G37),IF(G2=3,0.8-0.48/G37,IF(G2=4,0.8-0.4/G37,IF(G2=5,0.667-0.8/(3*G37),IF(G2=6,0,IF(G2=7,0.8-0.32/G37,IF(G2=8,0,IF(G2=1,0.333*(2-1/G37),0))))))))</f>
        <v>0.5714285714285714</v>
      </c>
      <c r="D39" s="37">
        <f>+IF(G2=2,0,IF(G2=3,1.6/3-0.32/G37,IF(G2=4,1.6/3-0.8/(3*G37),IF(G2=5,0,IF(G2=6,0.667-0.4/G37,IF(G2=7,1.6/3-0.64/(3*G37),IF(G2=8,0.667-1.1/(3*G37),IF(G2=9,0.333*(2-1/G37),0))))))))</f>
        <v>0.38095238095238093</v>
      </c>
      <c r="E39" s="37">
        <f>+IF(G2=1,0.33,IF(G2=2,0.36,IF(G2=3,0.36,IF(G2=4,0.4,IF(G2=6,0.4,IF(G2=8,0.45,0))))))</f>
        <v>0.4</v>
      </c>
      <c r="F39" s="37">
        <f>+IF(G2=2,0.24,IF(G2=4,0.26,IF(G2=5,0.26,IF(G2=7,0.3,IF(G2=8,0.3,IF(G2=9,0.33,0))))))</f>
        <v>0.26</v>
      </c>
      <c r="G39" s="28"/>
      <c r="I39" s="28"/>
      <c r="J39" s="37">
        <f>+IF(N2=2,0.667-5/(18*N37),IF(N2=3,0.8-0.48/N37,IF(N2=4,0.8-0.4/N37,IF(N2=5,0.667-0.8/(3*N37),IF(N2=6,0,IF(N2=7,0.8-0.32/N37,IF(N2=8,0,IF(N2=1,0.333*(2-1/N37),0))))))))</f>
        <v>0.49411764705882355</v>
      </c>
      <c r="K39" s="37">
        <f>+IF(N2=2,0,IF(N2=3,1.6/3-0.32/N37,IF(N2=4,1.6/3-0.8/(3*N37),IF(N2=5,0,IF(N2=6,0.667-0.4/N37,IF(N2=7,1.6/3-0.64/(3*N37),IF(N2=8,0.667-1.1/(3*N37),IF(N2=9,0.333*(2-1/N37),0))))))))</f>
        <v>0.32941176470588235</v>
      </c>
      <c r="L39" s="37">
        <f>+IF(N2=1,0.33,IF(N2=2,0.36,IF(N2=3,0.36,IF(N2=4,0.4,IF(N2=6,0.4,IF(N2=8,0.45,0))))))</f>
        <v>0.4</v>
      </c>
      <c r="M39" s="37">
        <f>+IF(N2=2,0.24,IF(N2=4,0.26,IF(N2=5,0.26,IF(N2=7,0.3,IF(N2=8,0.3,IF(N2=9,0.33,0))))))</f>
        <v>0.26</v>
      </c>
      <c r="N39" s="28"/>
    </row>
    <row r="40" spans="2:14" s="8" customFormat="1" ht="11.25" customHeight="1">
      <c r="B40" s="30" t="s">
        <v>43</v>
      </c>
      <c r="C40" s="31" t="s">
        <v>46</v>
      </c>
      <c r="D40" s="31" t="s">
        <v>47</v>
      </c>
      <c r="E40" s="31" t="s">
        <v>48</v>
      </c>
      <c r="F40" s="31" t="s">
        <v>49</v>
      </c>
      <c r="G40" s="10"/>
      <c r="I40" s="30" t="s">
        <v>43</v>
      </c>
      <c r="J40" s="31" t="s">
        <v>39</v>
      </c>
      <c r="K40" s="31" t="s">
        <v>40</v>
      </c>
      <c r="L40" s="31" t="s">
        <v>41</v>
      </c>
      <c r="M40" s="31" t="s">
        <v>42</v>
      </c>
      <c r="N40" s="10"/>
    </row>
    <row r="41" spans="2:14" s="8" customFormat="1" ht="11.25" customHeight="1">
      <c r="B41" s="30" t="s">
        <v>82</v>
      </c>
      <c r="C41" s="37">
        <f>0.914*IF(C39=0,"N.A.",C39*C13*E20)</f>
        <v>21.594043128163268</v>
      </c>
      <c r="D41" s="37">
        <f>0.914*IF(D39=0,"N.A.",D39*C13*E20)</f>
        <v>14.396028752108847</v>
      </c>
      <c r="E41" s="37">
        <f>0.914*IF(E39=0,"N.A.",E39*C13*E20)</f>
        <v>15.11583018971429</v>
      </c>
      <c r="F41" s="37">
        <f>0.914*IF(F39=0,"N.A.",F39*C13*E20)</f>
        <v>9.825289623314289</v>
      </c>
      <c r="G41" s="10"/>
      <c r="I41" s="30" t="s">
        <v>82</v>
      </c>
      <c r="J41" s="37">
        <f>0.914*IF(J39=0,"N.A.",J39*J13*L20)</f>
        <v>14.138210075294118</v>
      </c>
      <c r="K41" s="37">
        <f>0.914*IF(K39=0,"N.A.",K39*J13*L20)</f>
        <v>9.425473383529413</v>
      </c>
      <c r="L41" s="37">
        <f>0.914*IF(L39=0,"N.A.",L39*J13*L20)</f>
        <v>11.44521768</v>
      </c>
      <c r="M41" s="37">
        <f>0.914*IF(M39=0,"N.A.",M39*J13*L20)</f>
        <v>7.439391492000001</v>
      </c>
      <c r="N41" s="10"/>
    </row>
    <row r="42" spans="2:14" s="8" customFormat="1" ht="11.25" customHeight="1">
      <c r="B42" s="30" t="s">
        <v>8</v>
      </c>
      <c r="C42" s="37">
        <f>IF(C39=0,"N.A.",C39*C13*E19)</f>
        <v>4.114285714285714</v>
      </c>
      <c r="D42" s="37">
        <f>IF(D39=0,"N.A.",D39*C13*E19)</f>
        <v>2.742857142857143</v>
      </c>
      <c r="E42" s="37">
        <f>IF(E39=0,"N.A.",E39*E19*C13)</f>
        <v>2.8800000000000003</v>
      </c>
      <c r="F42" s="37">
        <f>IF(F39=0,"N.A.",F39*E19*C13)</f>
        <v>1.872</v>
      </c>
      <c r="G42" s="10"/>
      <c r="I42" s="30" t="s">
        <v>8</v>
      </c>
      <c r="J42" s="37">
        <f>IF(J39=0,"N.A.",J39*J13*L19)</f>
        <v>3.211764705882353</v>
      </c>
      <c r="K42" s="37">
        <f>IF(K39=0,"N.A.",K39*J13*L19)</f>
        <v>2.1411764705882352</v>
      </c>
      <c r="L42" s="37">
        <f>IF(L39=0,"N.A.",L39*L19*J13)</f>
        <v>2.6</v>
      </c>
      <c r="M42" s="37">
        <f>IF(M39=0,"N.A.",M39*L19*J13)</f>
        <v>1.69</v>
      </c>
      <c r="N42" s="10"/>
    </row>
    <row r="43" spans="2:14" s="8" customFormat="1" ht="11.25" customHeight="1">
      <c r="B43" s="30" t="s">
        <v>78</v>
      </c>
      <c r="C43" s="37">
        <f>IF(C39=0,"N.A.",C39*C13*E18)</f>
        <v>13.110008163265306</v>
      </c>
      <c r="D43" s="37">
        <f>IF(D39=0,"N.A.",D39*E18*C13)</f>
        <v>8.740005442176871</v>
      </c>
      <c r="E43" s="37">
        <f>IF(E39=0,"N.A.",E39*E18*C13)</f>
        <v>9.177005714285716</v>
      </c>
      <c r="F43" s="37">
        <f>IF(F39=0,"N.A.",F39*E18*C13)</f>
        <v>5.965053714285715</v>
      </c>
      <c r="G43" s="28"/>
      <c r="I43" s="30" t="s">
        <v>78</v>
      </c>
      <c r="J43" s="37">
        <f>IF(J39=0,"N.A.",J39*J13*L18)</f>
        <v>7.945905882352941</v>
      </c>
      <c r="K43" s="37">
        <f>IF(K39=0,"N.A.",K39*L18*J13)</f>
        <v>5.2972705882352935</v>
      </c>
      <c r="L43" s="37">
        <f>IF(L39=0,"N.A.",L39*L18*J13)</f>
        <v>6.4323999999999995</v>
      </c>
      <c r="M43" s="37">
        <f>IF(M39=0,"N.A.",M39*L18*J13)</f>
        <v>4.1810599999999996</v>
      </c>
      <c r="N43" s="28"/>
    </row>
    <row r="44" s="8" customFormat="1" ht="11.25" customHeight="1"/>
    <row r="45" s="8" customFormat="1" ht="11.25" customHeight="1">
      <c r="B45" s="35" t="s">
        <v>60</v>
      </c>
    </row>
    <row r="46" s="8" customFormat="1" ht="11.25" customHeight="1">
      <c r="B46" s="35" t="s">
        <v>61</v>
      </c>
    </row>
    <row r="47" s="8" customFormat="1" ht="11.25" customHeight="1">
      <c r="B47" s="35"/>
    </row>
    <row r="48" spans="2:14" s="8" customFormat="1" ht="18.75">
      <c r="B48" s="1"/>
      <c r="C48" s="1"/>
      <c r="D48"/>
      <c r="E48" s="62" t="s">
        <v>84</v>
      </c>
      <c r="F48" s="62"/>
      <c r="G48" s="41">
        <f>+IF(G49+F51+G53+H51=4,1,IF(G49+G53+MAX(F51,H51)=3,2,IF(F51+H51+MAX(G49,G53)=3,3,IF(MAX(G49,G53)+MAX(F51,H51)=2,4,IF(G53+G49=2,5,IF(F51+H51=2,6,IF(G53+G49=1,7,IF(F51+H51=1,8,9))))))))</f>
        <v>4</v>
      </c>
      <c r="H48" s="14"/>
      <c r="I48"/>
      <c r="K48"/>
      <c r="L48" s="62" t="s">
        <v>84</v>
      </c>
      <c r="M48" s="62"/>
      <c r="N48" s="41">
        <f>+IF(N49+M51+N53+O51=4,1,IF(N49+N53+MAX(M51,O51)=3,2,IF(M51+O51+MAX(N49,N53)=3,3,IF(MAX(N49,N53)+MAX(M51,O51)=2,4,IF(N53+N49=2,5,IF(M51+O51=2,6,IF(N53+N49=1,7,IF(M51+O51=1,8,9))))))))</f>
        <v>4</v>
      </c>
    </row>
    <row r="49" spans="2:14" ht="11.25" customHeight="1">
      <c r="B49" s="6" t="s">
        <v>62</v>
      </c>
      <c r="C49" s="21">
        <v>20</v>
      </c>
      <c r="D49" s="6" t="s">
        <v>64</v>
      </c>
      <c r="E49" s="6">
        <f>C49/1.5*0.85</f>
        <v>11.333333333333334</v>
      </c>
      <c r="F49" s="3"/>
      <c r="G49" s="47">
        <v>0</v>
      </c>
      <c r="H49" s="2"/>
      <c r="I49" s="6" t="s">
        <v>62</v>
      </c>
      <c r="J49" s="21">
        <v>20</v>
      </c>
      <c r="K49" s="6" t="s">
        <v>64</v>
      </c>
      <c r="L49" s="6">
        <f>J49/1.5*0.85</f>
        <v>11.333333333333334</v>
      </c>
      <c r="M49" s="3"/>
      <c r="N49" s="47">
        <v>0</v>
      </c>
    </row>
    <row r="50" spans="2:14" ht="11.25" customHeight="1">
      <c r="B50" s="6" t="s">
        <v>63</v>
      </c>
      <c r="C50" s="21">
        <v>300</v>
      </c>
      <c r="D50" s="6" t="s">
        <v>65</v>
      </c>
      <c r="E50" s="6">
        <f>C50/1.15</f>
        <v>260.86956521739125</v>
      </c>
      <c r="F50" s="8"/>
      <c r="G50" s="24"/>
      <c r="H50" s="8"/>
      <c r="I50" s="6" t="s">
        <v>63</v>
      </c>
      <c r="J50" s="21">
        <v>300</v>
      </c>
      <c r="K50" s="6" t="s">
        <v>65</v>
      </c>
      <c r="L50" s="6">
        <f>J50/1.15</f>
        <v>260.86956521739125</v>
      </c>
      <c r="M50" s="8"/>
      <c r="N50" s="17"/>
    </row>
    <row r="51" spans="2:15" ht="20.25">
      <c r="B51" s="8"/>
      <c r="C51" s="8"/>
      <c r="D51" s="8"/>
      <c r="E51" s="8"/>
      <c r="F51" s="46">
        <v>1</v>
      </c>
      <c r="G51" s="60" t="s">
        <v>81</v>
      </c>
      <c r="H51" s="48">
        <v>0</v>
      </c>
      <c r="I51" s="8"/>
      <c r="J51" s="8"/>
      <c r="K51" s="8"/>
      <c r="L51" s="8"/>
      <c r="M51" s="46">
        <v>1</v>
      </c>
      <c r="N51" s="60" t="s">
        <v>103</v>
      </c>
      <c r="O51" s="48">
        <v>0</v>
      </c>
    </row>
    <row r="52" spans="2:14" ht="11.25" customHeight="1">
      <c r="B52" s="9"/>
      <c r="C52" s="9"/>
      <c r="D52" s="9"/>
      <c r="E52" s="9"/>
      <c r="F52" s="8"/>
      <c r="G52" s="18"/>
      <c r="H52" s="8"/>
      <c r="I52" s="9"/>
      <c r="J52" s="9"/>
      <c r="K52" s="9"/>
      <c r="L52" s="9"/>
      <c r="M52" s="8"/>
      <c r="N52" s="18"/>
    </row>
    <row r="53" spans="2:14" ht="11.25" customHeight="1">
      <c r="B53" s="36" t="s">
        <v>66</v>
      </c>
      <c r="C53" s="36" t="s">
        <v>67</v>
      </c>
      <c r="D53" s="10" t="s">
        <v>0</v>
      </c>
      <c r="E53" s="36" t="s">
        <v>68</v>
      </c>
      <c r="F53" s="8"/>
      <c r="G53" s="49">
        <v>1</v>
      </c>
      <c r="H53" s="8"/>
      <c r="I53" s="36" t="s">
        <v>66</v>
      </c>
      <c r="J53" s="36" t="s">
        <v>67</v>
      </c>
      <c r="K53" s="10" t="s">
        <v>0</v>
      </c>
      <c r="L53" s="36" t="s">
        <v>68</v>
      </c>
      <c r="M53" s="8"/>
      <c r="N53" s="49">
        <v>1</v>
      </c>
    </row>
    <row r="54" spans="2:14" ht="11.25" customHeight="1">
      <c r="B54" s="7">
        <f>+IF((F51+H51+G49+G53=4),35,IF((F51+H51+G49+G53=0),25,30))</f>
        <v>30</v>
      </c>
      <c r="C54" s="7">
        <f>+IF((F51+H51+G49+G53=4),45,IF(F51+G53+H51+G49=0,35,40))</f>
        <v>40</v>
      </c>
      <c r="D54" s="7">
        <f>D59/C59</f>
        <v>2.166666666666667</v>
      </c>
      <c r="E54" s="7">
        <f>IF(G51&lt;&gt;"c",B54*(D54-1)+C54*(2-D54),10)</f>
        <v>28.33333333333333</v>
      </c>
      <c r="F54" s="35">
        <v>1</v>
      </c>
      <c r="G54" s="38" t="s">
        <v>77</v>
      </c>
      <c r="H54" s="8"/>
      <c r="I54" s="7">
        <f>+IF((M51+O51+N49+N53=4),35,IF((M51+O51+N49+N53=0),25,30))</f>
        <v>30</v>
      </c>
      <c r="J54" s="7">
        <f>+IF((M51+O51+N49+N53=4),45,IF(M51+N53+O51+N49=0,35,40))</f>
        <v>40</v>
      </c>
      <c r="K54" s="7">
        <f>K59/J59</f>
        <v>1.6</v>
      </c>
      <c r="L54" s="7">
        <f>IF(N51&lt;&gt;"c",I54*(K54-1)+J54*(2-K54),10)</f>
        <v>34</v>
      </c>
      <c r="M54" s="35">
        <v>1</v>
      </c>
      <c r="N54" s="38" t="s">
        <v>77</v>
      </c>
    </row>
    <row r="55" spans="2:14" ht="11.25" customHeight="1">
      <c r="B55" s="5"/>
      <c r="C55" s="5"/>
      <c r="D55" s="5"/>
      <c r="E55" s="5"/>
      <c r="F55" s="35">
        <v>0</v>
      </c>
      <c r="G55" s="38" t="s">
        <v>76</v>
      </c>
      <c r="H55" s="8"/>
      <c r="I55" s="5"/>
      <c r="J55" s="5"/>
      <c r="K55" s="5"/>
      <c r="L55" s="5"/>
      <c r="M55" s="35">
        <v>0</v>
      </c>
      <c r="N55" s="38" t="s">
        <v>76</v>
      </c>
    </row>
    <row r="56" spans="2:14" ht="11.25" customHeight="1">
      <c r="B56" s="4"/>
      <c r="C56" s="4"/>
      <c r="D56" s="5"/>
      <c r="E56" s="5"/>
      <c r="F56" s="5"/>
      <c r="G56" s="5"/>
      <c r="H56" s="8"/>
      <c r="I56" s="4"/>
      <c r="J56" s="4"/>
      <c r="K56" s="5"/>
      <c r="L56" s="5"/>
      <c r="M56" s="5"/>
      <c r="N56" s="5"/>
    </row>
    <row r="57" spans="2:14" ht="11.25" customHeight="1">
      <c r="B57" s="7" t="s">
        <v>79</v>
      </c>
      <c r="C57" s="10" t="str">
        <f>+G51</f>
        <v>S-2</v>
      </c>
      <c r="D57" s="6"/>
      <c r="E57" s="6"/>
      <c r="F57" s="6"/>
      <c r="G57" s="7" t="s">
        <v>74</v>
      </c>
      <c r="H57" s="8"/>
      <c r="I57" s="7" t="s">
        <v>79</v>
      </c>
      <c r="J57" s="10" t="str">
        <f>+N51</f>
        <v>S-6</v>
      </c>
      <c r="K57" s="6"/>
      <c r="L57" s="6"/>
      <c r="M57" s="6"/>
      <c r="N57" s="7" t="s">
        <v>74</v>
      </c>
    </row>
    <row r="58" spans="2:14" ht="11.25" customHeight="1">
      <c r="B58" s="7" t="s">
        <v>1</v>
      </c>
      <c r="C58" s="7" t="s">
        <v>70</v>
      </c>
      <c r="D58" s="7" t="s">
        <v>71</v>
      </c>
      <c r="E58" s="34" t="s">
        <v>72</v>
      </c>
      <c r="F58" s="7" t="s">
        <v>73</v>
      </c>
      <c r="G58" s="6">
        <f>ROUND((F59+G65+B79/2)+5,-1)</f>
        <v>100</v>
      </c>
      <c r="H58" s="8"/>
      <c r="I58" s="7" t="s">
        <v>1</v>
      </c>
      <c r="J58" s="7" t="s">
        <v>70</v>
      </c>
      <c r="K58" s="7" t="s">
        <v>71</v>
      </c>
      <c r="L58" s="34" t="s">
        <v>72</v>
      </c>
      <c r="M58" s="7" t="s">
        <v>75</v>
      </c>
      <c r="N58" s="6">
        <f>ROUND((M59+N65+I79/2)+5,-1)</f>
        <v>110</v>
      </c>
    </row>
    <row r="59" spans="2:14" ht="11.25" customHeight="1">
      <c r="B59" s="11"/>
      <c r="C59" s="16">
        <v>2.4</v>
      </c>
      <c r="D59" s="16">
        <v>5.2</v>
      </c>
      <c r="E59" s="6">
        <f>E54</f>
        <v>28.33333333333333</v>
      </c>
      <c r="F59" s="6">
        <f>((0.4+0.6*C$4/400)*(C59/E59))*1000</f>
        <v>72.00000000000003</v>
      </c>
      <c r="G59" s="39">
        <v>150</v>
      </c>
      <c r="H59" s="8"/>
      <c r="I59" s="11"/>
      <c r="J59" s="16">
        <v>3.25</v>
      </c>
      <c r="K59" s="16">
        <v>5.2</v>
      </c>
      <c r="L59" s="6">
        <f>L54</f>
        <v>34</v>
      </c>
      <c r="M59" s="6">
        <f>((0.4+0.6*J$4/400)*(J59/L59))*1000</f>
        <v>81.25</v>
      </c>
      <c r="N59" s="39">
        <v>150</v>
      </c>
    </row>
    <row r="60" spans="2:14" ht="11.25" customHeight="1">
      <c r="B60" s="7" t="s">
        <v>2</v>
      </c>
      <c r="C60" s="7" t="s">
        <v>86</v>
      </c>
      <c r="D60" s="7" t="s">
        <v>97</v>
      </c>
      <c r="E60" s="7" t="s">
        <v>3</v>
      </c>
      <c r="F60" s="7" t="s">
        <v>58</v>
      </c>
      <c r="G60" s="7" t="s">
        <v>4</v>
      </c>
      <c r="H60" s="8"/>
      <c r="I60" s="7" t="s">
        <v>2</v>
      </c>
      <c r="J60" s="7" t="s">
        <v>86</v>
      </c>
      <c r="K60" s="7" t="s">
        <v>97</v>
      </c>
      <c r="L60" s="7" t="s">
        <v>3</v>
      </c>
      <c r="M60" s="7" t="s">
        <v>58</v>
      </c>
      <c r="N60" s="7" t="s">
        <v>4</v>
      </c>
    </row>
    <row r="61" spans="2:14" ht="11.25" customHeight="1">
      <c r="B61" s="6"/>
      <c r="C61" s="20">
        <f>16*0.003</f>
        <v>0.048</v>
      </c>
      <c r="D61" s="20">
        <f>0.03*23</f>
        <v>0.69</v>
      </c>
      <c r="E61" s="6">
        <f>G59/1000*25</f>
        <v>3.75</v>
      </c>
      <c r="F61" s="20">
        <f>23*0.02</f>
        <v>0.46</v>
      </c>
      <c r="G61" s="6">
        <v>0</v>
      </c>
      <c r="H61" s="8"/>
      <c r="I61" s="6"/>
      <c r="J61" s="20">
        <f>16*0.003</f>
        <v>0.048</v>
      </c>
      <c r="K61" s="20">
        <f>0.03*23</f>
        <v>0.69</v>
      </c>
      <c r="L61" s="6">
        <f>N59/1000*25</f>
        <v>3.75</v>
      </c>
      <c r="M61" s="20">
        <f>23*0.02</f>
        <v>0.46</v>
      </c>
      <c r="N61" s="6">
        <v>0</v>
      </c>
    </row>
    <row r="62" spans="2:14" ht="11.25" customHeight="1">
      <c r="B62" s="7" t="s">
        <v>5</v>
      </c>
      <c r="C62" s="7" t="s">
        <v>94</v>
      </c>
      <c r="D62" s="7" t="s">
        <v>95</v>
      </c>
      <c r="E62" s="7" t="s">
        <v>59</v>
      </c>
      <c r="F62" s="7" t="s">
        <v>23</v>
      </c>
      <c r="G62" s="7" t="s">
        <v>6</v>
      </c>
      <c r="H62" s="8"/>
      <c r="I62" s="7" t="s">
        <v>5</v>
      </c>
      <c r="J62" s="7" t="s">
        <v>94</v>
      </c>
      <c r="K62" s="7" t="s">
        <v>95</v>
      </c>
      <c r="L62" s="7" t="s">
        <v>59</v>
      </c>
      <c r="M62" s="7" t="s">
        <v>23</v>
      </c>
      <c r="N62" s="7" t="s">
        <v>6</v>
      </c>
    </row>
    <row r="63" spans="2:14" ht="11.25" customHeight="1">
      <c r="B63" s="6"/>
      <c r="C63" s="16">
        <v>0</v>
      </c>
      <c r="D63" s="16">
        <v>0.2</v>
      </c>
      <c r="E63" s="16">
        <v>2.9</v>
      </c>
      <c r="F63" s="20">
        <f>14*D63*E63+23*0.05*E63</f>
        <v>11.455000000000002</v>
      </c>
      <c r="G63" s="6">
        <f>F63*C63/(C59*D59)</f>
        <v>0</v>
      </c>
      <c r="H63" s="8"/>
      <c r="I63" s="6"/>
      <c r="J63" s="16">
        <v>0</v>
      </c>
      <c r="K63" s="16">
        <v>0.2</v>
      </c>
      <c r="L63" s="16">
        <v>2.74</v>
      </c>
      <c r="M63" s="20">
        <f>14*K63*L63+23*0.05*L63</f>
        <v>10.823000000000002</v>
      </c>
      <c r="N63" s="6">
        <f>M63*J63/(J59*K59)</f>
        <v>0</v>
      </c>
    </row>
    <row r="64" spans="2:14" ht="11.25" customHeight="1">
      <c r="B64" s="7" t="s">
        <v>7</v>
      </c>
      <c r="C64" s="6"/>
      <c r="D64" s="6"/>
      <c r="E64" s="7">
        <f>+C61+D61+E61+F61+G61+G63</f>
        <v>4.9479999999999995</v>
      </c>
      <c r="F64" s="6"/>
      <c r="G64" s="31" t="s">
        <v>69</v>
      </c>
      <c r="H64" s="8"/>
      <c r="I64" s="7" t="s">
        <v>7</v>
      </c>
      <c r="J64" s="6"/>
      <c r="K64" s="6"/>
      <c r="L64" s="6">
        <f>+J61+K61+L61+M61+N61+N63</f>
        <v>4.9479999999999995</v>
      </c>
      <c r="M64" s="6"/>
      <c r="N64" s="31" t="s">
        <v>69</v>
      </c>
    </row>
    <row r="65" spans="2:14" ht="11.25" customHeight="1">
      <c r="B65" s="7" t="s">
        <v>8</v>
      </c>
      <c r="C65" s="11"/>
      <c r="D65" s="6"/>
      <c r="E65" s="21">
        <v>2</v>
      </c>
      <c r="F65" s="6"/>
      <c r="G65" s="32">
        <v>15</v>
      </c>
      <c r="H65" s="8"/>
      <c r="I65" s="7" t="s">
        <v>8</v>
      </c>
      <c r="J65" s="11"/>
      <c r="K65" s="6"/>
      <c r="L65" s="21">
        <v>2</v>
      </c>
      <c r="M65" s="6"/>
      <c r="N65" s="32">
        <v>15</v>
      </c>
    </row>
    <row r="66" spans="2:14" ht="11.25" customHeight="1">
      <c r="B66" s="7" t="s">
        <v>9</v>
      </c>
      <c r="C66" s="7"/>
      <c r="D66" s="6"/>
      <c r="E66" s="7">
        <f>1.3*E64+1.6*E65</f>
        <v>9.6324</v>
      </c>
      <c r="F66" s="6"/>
      <c r="G66" s="6"/>
      <c r="H66" s="8"/>
      <c r="I66" s="7" t="s">
        <v>9</v>
      </c>
      <c r="J66" s="7"/>
      <c r="K66" s="6"/>
      <c r="L66" s="7">
        <f>1.3*L64+1.6*L65</f>
        <v>9.6324</v>
      </c>
      <c r="M66" s="6"/>
      <c r="N66" s="6"/>
    </row>
    <row r="67" spans="2:14" ht="11.25" customHeight="1">
      <c r="B67" s="22" t="s">
        <v>22</v>
      </c>
      <c r="C67" s="23" t="s">
        <v>24</v>
      </c>
      <c r="D67" s="22" t="s">
        <v>25</v>
      </c>
      <c r="E67" s="23" t="s">
        <v>26</v>
      </c>
      <c r="F67" s="22" t="s">
        <v>27</v>
      </c>
      <c r="G67" s="22" t="s">
        <v>30</v>
      </c>
      <c r="H67" s="8"/>
      <c r="I67" s="22" t="s">
        <v>22</v>
      </c>
      <c r="J67" s="23" t="s">
        <v>24</v>
      </c>
      <c r="K67" s="22" t="s">
        <v>25</v>
      </c>
      <c r="L67" s="23" t="s">
        <v>26</v>
      </c>
      <c r="M67" s="22" t="s">
        <v>27</v>
      </c>
      <c r="N67" s="22" t="s">
        <v>30</v>
      </c>
    </row>
    <row r="68" spans="2:14" ht="11.25" customHeight="1">
      <c r="B68" s="7"/>
      <c r="C68" s="39">
        <f>+IF(F51=1,1.33333333333333,IF(F51&lt;&gt;0,"check data !!! ",0))</f>
        <v>1.33333333333333</v>
      </c>
      <c r="D68" s="39">
        <f>+IF(H51=1,1.33333333333333,IF(H51&lt;&gt;0,"check data !!!",0))</f>
        <v>0</v>
      </c>
      <c r="E68" s="39">
        <f>+IF(G49=1,1.33333333333333,IF(G49&lt;&gt;0,"check data !!!",0))</f>
        <v>0</v>
      </c>
      <c r="F68" s="39">
        <f>+IF(G53=1,1.33333333333333,IF(G53&lt;&gt;0,"check data !!!",0))</f>
        <v>1.33333333333333</v>
      </c>
      <c r="G68" s="39">
        <f>IF((4-G53-H51-G49-F51)&lt;0,"check data !!!",4-G53-H51-G49-F51)</f>
        <v>2</v>
      </c>
      <c r="H68" s="8"/>
      <c r="I68" s="15"/>
      <c r="J68" s="39">
        <f>+IF(M51=1,1.33333333333333,IF(M51&lt;&gt;0,"check data !!! ",0))</f>
        <v>1.33333333333333</v>
      </c>
      <c r="K68" s="39">
        <f>+IF(O51=1,1.33333333333333,IF(O51&lt;&gt;0,"check data !!!",0))</f>
        <v>0</v>
      </c>
      <c r="L68" s="39">
        <f>+IF(N49=1,1.33333333333333,IF(N49&lt;&gt;0,"check data !!!",0))</f>
        <v>0</v>
      </c>
      <c r="M68" s="39">
        <f>+IF(N53=1,1.33333333333333,IF(N53&lt;&gt;0,"check data !!!",0))</f>
        <v>1.33333333333333</v>
      </c>
      <c r="N68" s="39">
        <f>IF((4-N53-O51-N49-M51)&lt;0,"check data !!!",4-N53-O51-N49-M51)</f>
        <v>2</v>
      </c>
    </row>
    <row r="69" spans="2:14" ht="11.25" customHeight="1">
      <c r="B69" s="7" t="s">
        <v>10</v>
      </c>
      <c r="C69" s="33" t="s">
        <v>53</v>
      </c>
      <c r="D69" s="33" t="s">
        <v>50</v>
      </c>
      <c r="E69" s="33" t="s">
        <v>51</v>
      </c>
      <c r="F69" s="33" t="s">
        <v>52</v>
      </c>
      <c r="G69" s="27" t="s">
        <v>28</v>
      </c>
      <c r="H69" s="8"/>
      <c r="I69" s="7" t="s">
        <v>10</v>
      </c>
      <c r="J69" s="33" t="s">
        <v>53</v>
      </c>
      <c r="K69" s="33" t="s">
        <v>50</v>
      </c>
      <c r="L69" s="33" t="s">
        <v>51</v>
      </c>
      <c r="M69" s="33" t="s">
        <v>52</v>
      </c>
      <c r="N69" s="27" t="s">
        <v>28</v>
      </c>
    </row>
    <row r="70" spans="2:17" ht="11.25" customHeight="1">
      <c r="B70" s="7"/>
      <c r="C70" s="12">
        <f>IF(E68&lt;&gt;0,ROUND(4/3*E70,3),IF(F68=0,"0.00",ROUND(4/3*E70,3)))</f>
        <v>0.097</v>
      </c>
      <c r="D70" s="12">
        <f>IF(C68&lt;&gt;0,ROUND(4/3*F70,3),IF(D68=0,"0.00",ROUND(4/3*F70,3)))</f>
        <v>0.045</v>
      </c>
      <c r="E70" s="12">
        <f>+ROUND(G70/(SQRT(1+E68)+SQRT(1+F68))^2,3)</f>
        <v>0.073</v>
      </c>
      <c r="F70" s="12">
        <f>+ROUND((24+2*G68+1.5*(G68*G68))/1000,3)</f>
        <v>0.034</v>
      </c>
      <c r="G70" s="6">
        <f>0.666666666666667*(1-(C59/D59*SQRT(2*F70)*(SQRT(1+C68)+SQRT(1+D68))))</f>
        <v>0.46386729965871926</v>
      </c>
      <c r="H70" s="8"/>
      <c r="I70" s="7"/>
      <c r="J70" s="12">
        <f>IF(L68&lt;&gt;0,ROUND(4/3*L70,3),IF(M68=0,"0.00",ROUND(4/3*L70,3)))</f>
        <v>0.081</v>
      </c>
      <c r="K70" s="12">
        <f>IF(J68&lt;&gt;0,ROUND(4/3*M70,3),IF(K68=0,"0.00",ROUND(4/3*M70,3)))</f>
        <v>0.045</v>
      </c>
      <c r="L70" s="12">
        <f>+ROUND(N70/(SQRT(1+L68)+SQRT(1+M68))^2,3)</f>
        <v>0.061</v>
      </c>
      <c r="M70" s="12">
        <f>+ROUND((24+2*N68+1.5*(N68*N68))/1000,3)</f>
        <v>0.034</v>
      </c>
      <c r="N70" s="6">
        <f>0.666666666666667*(1-(J59/K59*SQRT(2*M70)*(SQRT(1+J68)+SQRT(1+K68))))</f>
        <v>0.3920425238434044</v>
      </c>
      <c r="Q70" t="s">
        <v>89</v>
      </c>
    </row>
    <row r="71" spans="2:14" ht="11.25" customHeight="1">
      <c r="B71" s="7" t="s">
        <v>11</v>
      </c>
      <c r="C71" s="7" t="s">
        <v>12</v>
      </c>
      <c r="D71" s="7" t="s">
        <v>13</v>
      </c>
      <c r="E71" s="7" t="s">
        <v>14</v>
      </c>
      <c r="F71" s="7" t="s">
        <v>15</v>
      </c>
      <c r="G71" s="6"/>
      <c r="H71" s="8"/>
      <c r="I71" s="7" t="s">
        <v>11</v>
      </c>
      <c r="J71" s="7" t="s">
        <v>12</v>
      </c>
      <c r="K71" s="7" t="s">
        <v>13</v>
      </c>
      <c r="L71" s="7" t="s">
        <v>14</v>
      </c>
      <c r="M71" s="7" t="s">
        <v>15</v>
      </c>
      <c r="N71" s="6"/>
    </row>
    <row r="72" spans="2:14" ht="11.25" customHeight="1">
      <c r="B72" s="6"/>
      <c r="C72" s="6">
        <f>C70*E66*C59*C59</f>
        <v>5.381814528</v>
      </c>
      <c r="D72" s="6">
        <f>D70*E66*C59*C59</f>
        <v>2.49671808</v>
      </c>
      <c r="E72" s="6">
        <f>E70*E66*C59*C59</f>
        <v>4.050231552</v>
      </c>
      <c r="F72" s="6">
        <f>F70*E66*C59*C59</f>
        <v>1.886409216</v>
      </c>
      <c r="G72" s="6"/>
      <c r="H72" s="8"/>
      <c r="I72" s="6"/>
      <c r="J72" s="6">
        <f>J70*L66*J59*J59</f>
        <v>8.241120225000001</v>
      </c>
      <c r="K72" s="6">
        <f>K70*L66*J59*J59</f>
        <v>4.578400125</v>
      </c>
      <c r="L72" s="6">
        <f>L70*L66*J59*J59</f>
        <v>6.206275725</v>
      </c>
      <c r="M72" s="6">
        <f>M70*L66*J59*J59</f>
        <v>3.4592356500000006</v>
      </c>
      <c r="N72" s="6"/>
    </row>
    <row r="73" spans="2:14" ht="11.25" customHeight="1">
      <c r="B73" s="6" t="s">
        <v>16</v>
      </c>
      <c r="C73" s="10">
        <f>ROUND(C72/(1*((G59-G65-B79/2)/1000)^2)+5,-1)</f>
        <v>320</v>
      </c>
      <c r="D73" s="10">
        <f>ROUND(D72/(1*((G59-G65-B79/2)/1000)^2)+5,-1)</f>
        <v>150</v>
      </c>
      <c r="E73" s="10">
        <f>ROUND(E72/(1*((G59-G65-B79/2)/1000)^2)+5,-1)</f>
        <v>240</v>
      </c>
      <c r="F73" s="10">
        <f>ROUND(F72/(1*((G59-G65-B79/2)/1000)^2)+5,-1)</f>
        <v>110</v>
      </c>
      <c r="G73" s="10"/>
      <c r="H73" s="8"/>
      <c r="I73" s="6" t="s">
        <v>16</v>
      </c>
      <c r="J73" s="10">
        <f>ROUND(J72/(1*((N59-N65-I79/2)/1000)^2)+5,-1)</f>
        <v>490</v>
      </c>
      <c r="K73" s="10">
        <f>ROUND(K72/(1*((N59-N65-I79/2)/1000)^2)+5,-1)</f>
        <v>270</v>
      </c>
      <c r="L73" s="10">
        <f>ROUND(L72/(1*((N59-N65-I79/2)/1000)^2)+5,-1)</f>
        <v>370</v>
      </c>
      <c r="M73" s="10">
        <f>ROUND(M72/(1*((N59-N65-I79/2)/1000)^2)+5,-1)</f>
        <v>210</v>
      </c>
      <c r="N73" s="10"/>
    </row>
    <row r="74" spans="2:14" ht="11.25" customHeight="1">
      <c r="B74" s="13" t="s">
        <v>17</v>
      </c>
      <c r="C74" s="37">
        <f>100*E49/E50*(1-SQRT(1-2*C72*1000000/(E49*1000*(G59-G65-B79/2)^2)))</f>
        <v>0.12192706880616457</v>
      </c>
      <c r="D74" s="37">
        <f>100*E49/E50*(1-SQRT(1-2*D72*1000000/(E49*1000*(G59-G65-B79/2)^2)))</f>
        <v>0.05613300393805846</v>
      </c>
      <c r="E74" s="37">
        <f>100*E49/E50*(1-SQRT(1-2*E72*1000000/(E49*1000*(G59-G65-B79/2)^2)))</f>
        <v>0.09143409902088223</v>
      </c>
      <c r="F74" s="37">
        <f>100*E49/E50*(1-SQRT(1-2*F72*1000000/(E49*1000*(G59-G65-B79/2)^2)))</f>
        <v>0.04234396727193617</v>
      </c>
      <c r="G74" s="6"/>
      <c r="H74" s="8"/>
      <c r="I74" s="13" t="s">
        <v>17</v>
      </c>
      <c r="J74" s="37">
        <f>100*L49/L50*(1-SQRT(1-2*J72*1000000/(L49*1000*(N59-N65-I79/2)^2)))</f>
        <v>0.18816045096110923</v>
      </c>
      <c r="K74" s="37">
        <f>100*L49/L50*(1-SQRT(1-2*K72*1000000/(L49*1000*(N59-N65-I79/2)^2)))</f>
        <v>0.10350281294736872</v>
      </c>
      <c r="L74" s="37">
        <f>100*L49/L50*(1-SQRT(1-2*L72*1000000/(L49*1000*(N59-N65-I79/2)^2)))</f>
        <v>0.14091793359445082</v>
      </c>
      <c r="M74" s="37">
        <f>100*L49/L50*(1-SQRT(1-2*M72*1000000/(L49*1000*(N59-N65-I79/2)^2)))</f>
        <v>0.07797024519300703</v>
      </c>
      <c r="N74" s="6"/>
    </row>
    <row r="75" spans="2:14" ht="11.25" customHeight="1">
      <c r="B75" s="6" t="s">
        <v>35</v>
      </c>
      <c r="C75" s="10">
        <f>ROUND(0.5/300*1000*($G59-$G65-$B79/2),0)</f>
        <v>218</v>
      </c>
      <c r="D75" s="10">
        <f>ROUND(0.5/300*1000*($G59-$G65-$B79/2),0)</f>
        <v>218</v>
      </c>
      <c r="E75" s="10">
        <f>ROUND(0.5/300*1000*($G59-$G65-$B79/2),0)</f>
        <v>218</v>
      </c>
      <c r="F75" s="10">
        <f>ROUND(0.5/300*1000*($G59-$G65-$B79/2),0)</f>
        <v>218</v>
      </c>
      <c r="G75" s="6"/>
      <c r="H75" s="8"/>
      <c r="I75" s="6" t="s">
        <v>18</v>
      </c>
      <c r="J75" s="10">
        <f>ROUND(0.5/300*1000*($N59-$N65-$I79/2),0)</f>
        <v>218</v>
      </c>
      <c r="K75" s="10">
        <f>ROUND(0.5/300*1000*($N59-$N65-$I79/2),0)</f>
        <v>218</v>
      </c>
      <c r="L75" s="10">
        <f>ROUND(0.5/300*1000*($N59-$N65-$I79/2),0)</f>
        <v>218</v>
      </c>
      <c r="M75" s="10">
        <f>ROUND(0.5/300*1000*($N59-$N65-$I79/2),0)</f>
        <v>218</v>
      </c>
      <c r="N75" s="6"/>
    </row>
    <row r="76" spans="2:14" ht="11.25" customHeight="1">
      <c r="B76" s="6" t="s">
        <v>36</v>
      </c>
      <c r="C76" s="40">
        <f>C74*1000*($G59-$G65-$B79/2)/100</f>
        <v>159.7244601360756</v>
      </c>
      <c r="D76" s="40">
        <f>D74*1000*($G59-$G65-$B79/2)/100</f>
        <v>73.53423515885657</v>
      </c>
      <c r="E76" s="40">
        <f>E74*1000*($G59-$G65-$B79/2)/100</f>
        <v>119.77866971735571</v>
      </c>
      <c r="F76" s="40">
        <f>F74*1000*($G59-$G65-$B79/2)/100</f>
        <v>55.47059712623639</v>
      </c>
      <c r="G76" s="6"/>
      <c r="H76" s="8"/>
      <c r="I76" s="6" t="s">
        <v>19</v>
      </c>
      <c r="J76" s="40">
        <f>J74*1000*($N59-$N65-$I79/2)/100</f>
        <v>246.49019075905312</v>
      </c>
      <c r="K76" s="40">
        <f>K74*1000*($N59-$N65-$I79/2)/100</f>
        <v>135.58868496105302</v>
      </c>
      <c r="L76" s="40">
        <f>L74*1000*($N59-$N65-$I79/2)/100</f>
        <v>184.6024930087306</v>
      </c>
      <c r="M76" s="40">
        <f>M74*1000*($N59-$N65-$I79/2)/100</f>
        <v>102.14102120283923</v>
      </c>
      <c r="N76" s="6"/>
    </row>
    <row r="77" spans="2:14" ht="11.25" customHeight="1">
      <c r="B77" s="6" t="s">
        <v>37</v>
      </c>
      <c r="C77" s="40">
        <f>+MAX(C75:C76)</f>
        <v>218</v>
      </c>
      <c r="D77" s="40">
        <f>+MAX(D75:D76)</f>
        <v>218</v>
      </c>
      <c r="E77" s="40">
        <f>+MAX(E75:E76)</f>
        <v>218</v>
      </c>
      <c r="F77" s="40">
        <f>+MAX(F75:F76)</f>
        <v>218</v>
      </c>
      <c r="G77" s="6"/>
      <c r="H77" s="8"/>
      <c r="I77" s="6" t="s">
        <v>20</v>
      </c>
      <c r="J77" s="40">
        <f>+MAX(J75:J76)</f>
        <v>246.49019075905312</v>
      </c>
      <c r="K77" s="40">
        <f>+MAX(K75:K76)</f>
        <v>218</v>
      </c>
      <c r="L77" s="40">
        <f>+MAX(L75:L76)</f>
        <v>218</v>
      </c>
      <c r="M77" s="40">
        <f>+MAX(M75:M76)</f>
        <v>218</v>
      </c>
      <c r="N77" s="6"/>
    </row>
    <row r="78" spans="2:14" ht="11.25" customHeight="1">
      <c r="B78" s="26" t="s">
        <v>38</v>
      </c>
      <c r="C78" s="10" t="s">
        <v>21</v>
      </c>
      <c r="D78" s="10" t="s">
        <v>21</v>
      </c>
      <c r="E78" s="10" t="s">
        <v>21</v>
      </c>
      <c r="F78" s="10" t="s">
        <v>21</v>
      </c>
      <c r="G78" s="6"/>
      <c r="H78" s="8"/>
      <c r="I78" s="26" t="s">
        <v>29</v>
      </c>
      <c r="J78" s="10" t="s">
        <v>21</v>
      </c>
      <c r="K78" s="10" t="s">
        <v>21</v>
      </c>
      <c r="L78" s="10" t="s">
        <v>21</v>
      </c>
      <c r="M78" s="10" t="s">
        <v>21</v>
      </c>
      <c r="N78" s="6"/>
    </row>
    <row r="79" spans="2:14" ht="11.25" customHeight="1">
      <c r="B79" s="16">
        <v>8</v>
      </c>
      <c r="C79" s="10">
        <f>ROUND(1000/C82+0.5,0)+1</f>
        <v>6</v>
      </c>
      <c r="D79" s="10">
        <f>ROUND(1000/D82+0.5,0)+1</f>
        <v>6</v>
      </c>
      <c r="E79" s="10">
        <f>ROUND(1000/E82+0.5,0)+1</f>
        <v>6</v>
      </c>
      <c r="F79" s="10">
        <f>ROUND(1000/F82+0.5,0)+1</f>
        <v>6</v>
      </c>
      <c r="G79" s="6"/>
      <c r="H79" s="8"/>
      <c r="I79" s="16">
        <v>8</v>
      </c>
      <c r="J79" s="10">
        <f>ROUND(1000/J82+0.5,0)+1</f>
        <v>7</v>
      </c>
      <c r="K79" s="10">
        <f>ROUND(1000/K82+0.5,0)+1</f>
        <v>6</v>
      </c>
      <c r="L79" s="10">
        <f>ROUND(1000/L82+0.5,0)+1</f>
        <v>6</v>
      </c>
      <c r="M79" s="10">
        <f>ROUND(1000/M82+0.5,0)+1</f>
        <v>6</v>
      </c>
      <c r="N79" s="6"/>
    </row>
    <row r="80" spans="2:14" ht="11.25" customHeight="1">
      <c r="B80" s="25" t="s">
        <v>31</v>
      </c>
      <c r="C80" s="10">
        <f>2*G59</f>
        <v>300</v>
      </c>
      <c r="D80" s="10">
        <f>2*G59</f>
        <v>300</v>
      </c>
      <c r="E80" s="10">
        <f>2*G59</f>
        <v>300</v>
      </c>
      <c r="F80" s="10">
        <f>2*G59</f>
        <v>300</v>
      </c>
      <c r="G80" s="6"/>
      <c r="H80" s="8"/>
      <c r="I80" s="25" t="s">
        <v>31</v>
      </c>
      <c r="J80" s="10">
        <f>2*N59</f>
        <v>300</v>
      </c>
      <c r="K80" s="10">
        <f>2*N59</f>
        <v>300</v>
      </c>
      <c r="L80" s="10">
        <f>2*N59</f>
        <v>300</v>
      </c>
      <c r="M80" s="10">
        <f>2*N59</f>
        <v>300</v>
      </c>
      <c r="N80" s="6"/>
    </row>
    <row r="81" spans="2:14" ht="11.25" customHeight="1">
      <c r="B81" s="25" t="s">
        <v>34</v>
      </c>
      <c r="C81" s="6">
        <f>ROUND((1000*PI()*(B79^2/4))/C77-5,-1)</f>
        <v>230</v>
      </c>
      <c r="D81" s="6">
        <f>ROUND((1000*PI()*(B79^2/4))/D77-5,-1)</f>
        <v>230</v>
      </c>
      <c r="E81" s="6">
        <f>ROUND((1000*PI()*(B79^2/4))/E77-5,-1)</f>
        <v>230</v>
      </c>
      <c r="F81" s="6">
        <f>ROUND((1000*PI()*(B79^2/4))/F77-5,-1)</f>
        <v>230</v>
      </c>
      <c r="G81" s="6"/>
      <c r="H81" s="8"/>
      <c r="I81" s="25" t="s">
        <v>32</v>
      </c>
      <c r="J81" s="6">
        <f>ROUND((1000*PI()*(I79^2/4))/J77-5,-1)</f>
        <v>200</v>
      </c>
      <c r="K81" s="6">
        <f>ROUND((1000*PI()*(I79^2/4))/K77-5,-1)</f>
        <v>230</v>
      </c>
      <c r="L81" s="6">
        <f>ROUND((1000*PI()*(I79^2/4))/L77-5,-1)</f>
        <v>230</v>
      </c>
      <c r="M81" s="6">
        <f>ROUND((1000*PI()*(I79^2/4))/M77-5,-1)</f>
        <v>230</v>
      </c>
      <c r="N81" s="6"/>
    </row>
    <row r="82" spans="2:14" ht="11.25" customHeight="1">
      <c r="B82" s="25" t="s">
        <v>33</v>
      </c>
      <c r="C82" s="6">
        <f>MIN(C80:C81)</f>
        <v>230</v>
      </c>
      <c r="D82" s="6">
        <f>MIN(D80:D81)</f>
        <v>230</v>
      </c>
      <c r="E82" s="6">
        <f>MIN(E80:E81)</f>
        <v>230</v>
      </c>
      <c r="F82" s="6">
        <f>MIN(F80:F81)</f>
        <v>230</v>
      </c>
      <c r="G82" s="6"/>
      <c r="H82" s="8"/>
      <c r="I82" s="25" t="s">
        <v>33</v>
      </c>
      <c r="J82" s="6">
        <f>MIN(J80:J81)</f>
        <v>200</v>
      </c>
      <c r="K82" s="6">
        <f>MIN(K80:K81)</f>
        <v>230</v>
      </c>
      <c r="L82" s="6">
        <f>MIN(L80:L81)</f>
        <v>230</v>
      </c>
      <c r="M82" s="6">
        <f>MIN(M80:M81)</f>
        <v>230</v>
      </c>
      <c r="N82" s="6"/>
    </row>
    <row r="83" spans="2:14" ht="15.75">
      <c r="B83" s="25"/>
      <c r="C83" s="61" t="s">
        <v>45</v>
      </c>
      <c r="D83" s="61"/>
      <c r="E83" s="61"/>
      <c r="F83" s="43" t="s">
        <v>83</v>
      </c>
      <c r="G83" s="44">
        <f>+D54</f>
        <v>2.166666666666667</v>
      </c>
      <c r="H83" s="8"/>
      <c r="I83" s="25"/>
      <c r="J83" s="61" t="s">
        <v>45</v>
      </c>
      <c r="K83" s="61"/>
      <c r="L83" s="61"/>
      <c r="M83" s="43" t="s">
        <v>83</v>
      </c>
      <c r="N83" s="44">
        <f>+K54</f>
        <v>1.6</v>
      </c>
    </row>
    <row r="84" spans="2:14" ht="11.25" customHeight="1">
      <c r="B84" s="29" t="s">
        <v>44</v>
      </c>
      <c r="C84" s="34" t="s">
        <v>54</v>
      </c>
      <c r="D84" s="34" t="s">
        <v>55</v>
      </c>
      <c r="E84" s="34" t="s">
        <v>56</v>
      </c>
      <c r="F84" s="34" t="s">
        <v>57</v>
      </c>
      <c r="G84" s="10"/>
      <c r="H84" s="19"/>
      <c r="I84" s="29" t="s">
        <v>44</v>
      </c>
      <c r="J84" s="34" t="s">
        <v>54</v>
      </c>
      <c r="K84" s="34" t="s">
        <v>55</v>
      </c>
      <c r="L84" s="34" t="s">
        <v>56</v>
      </c>
      <c r="M84" s="34" t="s">
        <v>57</v>
      </c>
      <c r="N84" s="10"/>
    </row>
    <row r="85" spans="2:14" ht="11.25" customHeight="1">
      <c r="B85" s="28"/>
      <c r="C85" s="37">
        <f>+IF(G48=2,0.666666666666667-5/(18*G83),IF(G48=3,0.8-0.48/G83,IF(G48=4,0.8-0.4/G83,IF(G48=5,0.666666666666667-0.8/(3*G83),IF(G48=6,0,IF(G48=7,0.8-0.32/G83,IF(G48=8,0,IF(G48=1,0.333333333333333*(2-1/G83),0))))))))</f>
        <v>0.6153846153846154</v>
      </c>
      <c r="D85" s="37">
        <f>+IF(G48=2,0,IF(G48=3,1.6/3-0.32/G83,IF(G48=4,1.6/3-0.8/(3*G83),IF(G48=5,0,IF(G48=6,0.666666666666667-0.4/G83,IF(G48=7,1.6/3-0.64/(3*G83),IF(G48=8,0.666666666666667-1.1/(3*G83),IF(G48=9,0.333333333333333*(2-1/G83),0))))))))</f>
        <v>0.41025641025641024</v>
      </c>
      <c r="E85" s="37">
        <f>+IF(G48=1,0.33,IF(G48=2,0.36,IF(G48=3,0.36,IF(G48=4,0.4,IF(G48=6,0.4,IF(G48=8,0.45,0))))))</f>
        <v>0.4</v>
      </c>
      <c r="F85" s="37">
        <f>+IF(G48=2,0.24,IF(G48=4,0.26,IF(G48=5,0.26,IF(G48=7,0.3,IF(G48=8,0.3,IF(G48=9,0.33,0))))))</f>
        <v>0.26</v>
      </c>
      <c r="G85" s="28"/>
      <c r="H85" s="8"/>
      <c r="I85" s="28"/>
      <c r="J85" s="37">
        <f>+IF(N48=2,0.666666666666667-5/(18*N83),IF(N48=3,0.8-0.48/N83,IF(N48=4,0.8-0.4/N83,IF(N48=5,0.666666666666667-0.8/(3*N83),IF(N48=6,0,IF(N48=7,0.8-0.32/N83,IF(N48=8,0,IF(N48=1,0.333333333333333*(2-1/N83),0))))))))</f>
        <v>0.55</v>
      </c>
      <c r="K85" s="37">
        <f>+IF(N48=2,0,IF(N48=3,1.6/3-0.32/N83,IF(N48=4,1.6/3-0.8/(3*N83),IF(N48=5,0,IF(N48=6,0.666666666666667-0.4/N83,IF(N48=7,1.6/3-0.64/(3*N83),IF(N48=8,0.666666666666667-1.1/(3*N83),IF(N48=9,0.333333333333333*(2-1/N83),0))))))))</f>
        <v>0.3666666666666667</v>
      </c>
      <c r="L85" s="37">
        <f>+IF(N48=1,0.33,IF(N48=2,0.36,IF(N48=3,0.36,IF(N48=4,0.4,IF(N48=6,0.4,IF(N48=8,0.45,0))))))</f>
        <v>0.4</v>
      </c>
      <c r="M85" s="37">
        <f>+IF(N48=2,0.24,IF(N48=4,0.26,IF(N48=5,0.26,IF(N48=7,0.3,IF(N48=8,0.3,IF(N48=9,0.33,0))))))</f>
        <v>0.26</v>
      </c>
      <c r="N85" s="28"/>
    </row>
    <row r="86" spans="2:14" ht="11.25" customHeight="1">
      <c r="B86" s="30" t="s">
        <v>43</v>
      </c>
      <c r="C86" s="31" t="s">
        <v>46</v>
      </c>
      <c r="D86" s="31" t="s">
        <v>47</v>
      </c>
      <c r="E86" s="31" t="s">
        <v>48</v>
      </c>
      <c r="F86" s="31" t="s">
        <v>49</v>
      </c>
      <c r="G86" s="10"/>
      <c r="H86" s="8"/>
      <c r="I86" s="30" t="s">
        <v>43</v>
      </c>
      <c r="J86" s="31" t="s">
        <v>39</v>
      </c>
      <c r="K86" s="31" t="s">
        <v>40</v>
      </c>
      <c r="L86" s="31" t="s">
        <v>41</v>
      </c>
      <c r="M86" s="31" t="s">
        <v>42</v>
      </c>
      <c r="N86" s="10"/>
    </row>
    <row r="87" spans="2:14" ht="11.25" customHeight="1">
      <c r="B87" s="30" t="s">
        <v>82</v>
      </c>
      <c r="C87" s="37">
        <f>0.914*IF(C85=0,"N.A.",C85*C59*E66)</f>
        <v>13.002850855384619</v>
      </c>
      <c r="D87" s="37">
        <f>0.914*IF(D85=0,"N.A.",D85*C59*E66)</f>
        <v>8.668567236923078</v>
      </c>
      <c r="E87" s="37">
        <f>0.914*IF(E85=0,"N.A.",E85*C59*E66)</f>
        <v>8.451853056000001</v>
      </c>
      <c r="F87" s="37">
        <f>0.914*IF(F85=0,"N.A.",F85*C59*E66)</f>
        <v>5.4937044864</v>
      </c>
      <c r="G87" s="10"/>
      <c r="H87" s="8"/>
      <c r="I87" s="30" t="s">
        <v>82</v>
      </c>
      <c r="J87" s="37">
        <f>0.914*IF(J85=0,"N.A.",J85*J59*L66)</f>
        <v>15.737174310000002</v>
      </c>
      <c r="K87" s="37">
        <f>0.914*IF(K85=0,"N.A.",K85*J59*L66)</f>
        <v>10.491449540000003</v>
      </c>
      <c r="L87" s="37">
        <f>0.914*IF(L85=0,"N.A.",L85*J59*L66)</f>
        <v>11.44521768</v>
      </c>
      <c r="M87" s="37">
        <f>0.914*IF(M85=0,"N.A.",M85*J59*L66)</f>
        <v>7.439391492000001</v>
      </c>
      <c r="N87" s="10"/>
    </row>
    <row r="88" spans="2:14" ht="11.25" customHeight="1">
      <c r="B88" s="30" t="s">
        <v>8</v>
      </c>
      <c r="C88" s="37">
        <f>IF(C85=0,"N.A.",C85*C59*E65)</f>
        <v>2.953846153846154</v>
      </c>
      <c r="D88" s="37">
        <f>IF(D85=0,"N.A.",D85*C59*E65)</f>
        <v>1.9692307692307691</v>
      </c>
      <c r="E88" s="37">
        <f>IF(E85=0,"N.A.",E85*E65*C59)</f>
        <v>1.92</v>
      </c>
      <c r="F88" s="37">
        <f>IF(F85=0,"N.A.",F85*E65*C59)</f>
        <v>1.248</v>
      </c>
      <c r="G88" s="10"/>
      <c r="H88" s="8"/>
      <c r="I88" s="30" t="s">
        <v>8</v>
      </c>
      <c r="J88" s="37">
        <f>IF(J85=0,"N.A.",J85*J59*L65)</f>
        <v>3.575</v>
      </c>
      <c r="K88" s="37">
        <f>IF(K85=0,"N.A.",K85*J59*L65)</f>
        <v>2.3833333333333337</v>
      </c>
      <c r="L88" s="37">
        <f>IF(L85=0,"N.A.",L85*L65*J59)</f>
        <v>2.6</v>
      </c>
      <c r="M88" s="37">
        <f>IF(M85=0,"N.A.",M85*L65*J59)</f>
        <v>1.69</v>
      </c>
      <c r="N88" s="10"/>
    </row>
    <row r="89" spans="2:14" ht="11.25" customHeight="1">
      <c r="B89" s="30" t="s">
        <v>78</v>
      </c>
      <c r="C89" s="37">
        <f>IF(C85=0,"N.A.",C85*C59*E64)</f>
        <v>7.307815384615385</v>
      </c>
      <c r="D89" s="37">
        <f>IF(D85=0,"N.A.",D85*E64*C59)</f>
        <v>4.871876923076923</v>
      </c>
      <c r="E89" s="37">
        <f>IF(E85=0,"N.A.",E85*E64*C59)</f>
        <v>4.75008</v>
      </c>
      <c r="F89" s="37">
        <f>IF(F85=0,"N.A.",F85*E64*C59)</f>
        <v>3.0875519999999996</v>
      </c>
      <c r="G89" s="28"/>
      <c r="H89" s="8"/>
      <c r="I89" s="30" t="s">
        <v>78</v>
      </c>
      <c r="J89" s="37">
        <f>IF(J85=0,"N.A.",J85*J59*L64)</f>
        <v>8.84455</v>
      </c>
      <c r="K89" s="37">
        <f>IF(K85=0,"N.A.",K85*L64*J59)</f>
        <v>5.896366666666667</v>
      </c>
      <c r="L89" s="37">
        <f>IF(L85=0,"N.A.",L85*L64*J59)</f>
        <v>6.4323999999999995</v>
      </c>
      <c r="M89" s="37">
        <f>IF(M85=0,"N.A.",M85*L64*J59)</f>
        <v>4.1810599999999996</v>
      </c>
      <c r="N89" s="28"/>
    </row>
    <row r="90" spans="2:14" ht="11.2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ht="11.25" customHeight="1">
      <c r="B91" s="35" t="s">
        <v>60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t="13.5">
      <c r="B92" s="35" t="s">
        <v>61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s="8" customFormat="1" ht="18.75">
      <c r="B93" s="1"/>
      <c r="C93" s="1"/>
      <c r="D93"/>
      <c r="E93" s="62" t="s">
        <v>84</v>
      </c>
      <c r="F93" s="62"/>
      <c r="G93" s="41">
        <f>+IF(G94+F96+G98+H96=4,1,IF(G94+G98+MAX(F96,H96)=3,2,IF(F96+H96+MAX(G94,G98)=3,3,IF(MAX(G94,G98)+MAX(F96,H96)=2,4,IF(G98+G94=2,5,IF(F96+H96=2,6,IF(G98+G94=1,7,IF(F96+H96=1,8,9))))))))</f>
        <v>4</v>
      </c>
      <c r="H93" s="14"/>
      <c r="I93"/>
      <c r="K93"/>
      <c r="L93" s="62" t="s">
        <v>84</v>
      </c>
      <c r="M93" s="62"/>
      <c r="N93" s="41">
        <f>+IF(N94+M96+N98+O96=4,1,IF(N94+N98+MAX(M96,O96)=3,2,IF(M96+O96+MAX(N94,N98)=3,3,IF(MAX(N94,N98)+MAX(M96,O96)=2,4,IF(N98+N94=2,5,IF(M96+O96=2,6,IF(N98+N94=1,7,IF(M96+O96=1,8,9))))))))</f>
        <v>4</v>
      </c>
    </row>
    <row r="94" spans="2:14" ht="11.25" customHeight="1">
      <c r="B94" s="6" t="s">
        <v>62</v>
      </c>
      <c r="C94" s="21">
        <v>20</v>
      </c>
      <c r="D94" s="6" t="s">
        <v>64</v>
      </c>
      <c r="E94" s="6">
        <f>C94/1.5*0.85</f>
        <v>11.333333333333334</v>
      </c>
      <c r="F94" s="3"/>
      <c r="G94" s="47">
        <v>0</v>
      </c>
      <c r="H94" s="2"/>
      <c r="I94" s="6" t="s">
        <v>62</v>
      </c>
      <c r="J94" s="21">
        <v>20</v>
      </c>
      <c r="K94" s="6" t="s">
        <v>64</v>
      </c>
      <c r="L94" s="6">
        <f>J94/1.5*0.85</f>
        <v>11.333333333333334</v>
      </c>
      <c r="M94" s="3"/>
      <c r="N94" s="47">
        <v>0</v>
      </c>
    </row>
    <row r="95" spans="2:14" ht="11.25" customHeight="1">
      <c r="B95" s="6" t="s">
        <v>63</v>
      </c>
      <c r="C95" s="21">
        <v>300</v>
      </c>
      <c r="D95" s="6" t="s">
        <v>65</v>
      </c>
      <c r="E95" s="6">
        <f>C95/1.15</f>
        <v>260.86956521739125</v>
      </c>
      <c r="F95" s="8"/>
      <c r="G95" s="24"/>
      <c r="H95" s="8"/>
      <c r="I95" s="6" t="s">
        <v>63</v>
      </c>
      <c r="J95" s="21">
        <v>300</v>
      </c>
      <c r="K95" s="6" t="s">
        <v>65</v>
      </c>
      <c r="L95" s="6">
        <f>J95/1.15</f>
        <v>260.86956521739125</v>
      </c>
      <c r="M95" s="8"/>
      <c r="N95" s="17"/>
    </row>
    <row r="96" spans="2:15" ht="20.25">
      <c r="B96" s="8"/>
      <c r="C96" s="8"/>
      <c r="D96" s="8"/>
      <c r="E96" s="8"/>
      <c r="F96" s="46">
        <v>1</v>
      </c>
      <c r="G96" s="60" t="s">
        <v>102</v>
      </c>
      <c r="H96" s="48">
        <v>0</v>
      </c>
      <c r="I96" s="8"/>
      <c r="J96" s="8"/>
      <c r="K96" s="8"/>
      <c r="L96" s="8"/>
      <c r="M96" s="46">
        <v>1</v>
      </c>
      <c r="N96" s="60" t="s">
        <v>99</v>
      </c>
      <c r="O96" s="48">
        <v>0</v>
      </c>
    </row>
    <row r="97" spans="2:14" ht="11.25" customHeight="1">
      <c r="B97" s="9"/>
      <c r="C97" s="9"/>
      <c r="D97" s="9"/>
      <c r="E97" s="9"/>
      <c r="F97" s="8"/>
      <c r="G97" s="18"/>
      <c r="H97" s="8"/>
      <c r="I97" s="9"/>
      <c r="J97" s="9"/>
      <c r="K97" s="9"/>
      <c r="L97" s="9"/>
      <c r="M97" s="8"/>
      <c r="N97" s="18"/>
    </row>
    <row r="98" spans="2:14" ht="11.25" customHeight="1">
      <c r="B98" s="36" t="s">
        <v>66</v>
      </c>
      <c r="C98" s="36" t="s">
        <v>67</v>
      </c>
      <c r="D98" s="10" t="s">
        <v>0</v>
      </c>
      <c r="E98" s="36" t="s">
        <v>68</v>
      </c>
      <c r="F98" s="8"/>
      <c r="G98" s="49">
        <v>1</v>
      </c>
      <c r="H98" s="8"/>
      <c r="I98" s="36" t="s">
        <v>66</v>
      </c>
      <c r="J98" s="36" t="s">
        <v>67</v>
      </c>
      <c r="K98" s="10" t="s">
        <v>0</v>
      </c>
      <c r="L98" s="36" t="s">
        <v>68</v>
      </c>
      <c r="M98" s="8"/>
      <c r="N98" s="49">
        <v>1</v>
      </c>
    </row>
    <row r="99" spans="2:14" ht="11.25" customHeight="1">
      <c r="B99" s="7">
        <f>+IF((F96+H96+G94+G98=4),35,IF((F96+H96+G94+G98=0),25,30))</f>
        <v>30</v>
      </c>
      <c r="C99" s="7">
        <f>+IF((F96+H96+G94+G98=4),45,IF(F96+G98+H96+G94=0,35,40))</f>
        <v>40</v>
      </c>
      <c r="D99" s="7">
        <f>D104/C104</f>
        <v>1</v>
      </c>
      <c r="E99" s="7">
        <f>IF(G96&lt;&gt;"c",B99*(D99-1)+C99*(2-D99),10)</f>
        <v>40</v>
      </c>
      <c r="F99" s="35">
        <v>1</v>
      </c>
      <c r="G99" s="38" t="s">
        <v>77</v>
      </c>
      <c r="H99" s="8"/>
      <c r="I99" s="7">
        <f>+IF((M96+O96+N94+N98=4),35,IF((M96+O96+N94+N98=0),25,30))</f>
        <v>30</v>
      </c>
      <c r="J99" s="7">
        <f>+IF((M96+O96+N94+N98=4),45,IF(M96+N98+O96+N94=0,35,40))</f>
        <v>40</v>
      </c>
      <c r="K99" s="7">
        <f>K104/J104</f>
        <v>1.5476190476190474</v>
      </c>
      <c r="L99" s="7">
        <f>IF(N96&lt;&gt;"c",I99*(K99-1)+J99*(2-K99),10)</f>
        <v>34.523809523809526</v>
      </c>
      <c r="M99" s="35">
        <v>1</v>
      </c>
      <c r="N99" s="38" t="s">
        <v>77</v>
      </c>
    </row>
    <row r="100" spans="2:14" ht="11.25" customHeight="1">
      <c r="B100" s="5"/>
      <c r="C100" s="5"/>
      <c r="D100" s="5"/>
      <c r="E100" s="5"/>
      <c r="F100" s="35">
        <v>0</v>
      </c>
      <c r="G100" s="38" t="s">
        <v>76</v>
      </c>
      <c r="H100" s="8"/>
      <c r="I100" s="5"/>
      <c r="J100" s="5"/>
      <c r="K100" s="5"/>
      <c r="L100" s="5"/>
      <c r="M100" s="35">
        <v>0</v>
      </c>
      <c r="N100" s="38" t="s">
        <v>76</v>
      </c>
    </row>
    <row r="101" spans="2:14" ht="11.25" customHeight="1">
      <c r="B101" s="4"/>
      <c r="C101" s="4"/>
      <c r="D101" s="5"/>
      <c r="E101" s="5"/>
      <c r="F101" s="5"/>
      <c r="G101" s="5"/>
      <c r="H101" s="8"/>
      <c r="I101" s="4"/>
      <c r="J101" s="4"/>
      <c r="K101" s="5"/>
      <c r="L101" s="5"/>
      <c r="M101" s="5"/>
      <c r="N101" s="5"/>
    </row>
    <row r="102" spans="2:14" ht="11.25" customHeight="1">
      <c r="B102" s="7" t="s">
        <v>79</v>
      </c>
      <c r="C102" s="10" t="str">
        <f>+G96</f>
        <v>S-3</v>
      </c>
      <c r="D102" s="6"/>
      <c r="E102" s="6"/>
      <c r="F102" s="6"/>
      <c r="G102" s="7" t="s">
        <v>74</v>
      </c>
      <c r="H102" s="8"/>
      <c r="I102" s="7" t="s">
        <v>79</v>
      </c>
      <c r="J102" s="10" t="str">
        <f>+N96</f>
        <v>S-7</v>
      </c>
      <c r="K102" s="6"/>
      <c r="L102" s="6"/>
      <c r="M102" s="6"/>
      <c r="N102" s="7" t="s">
        <v>74</v>
      </c>
    </row>
    <row r="103" spans="2:14" ht="11.25" customHeight="1">
      <c r="B103" s="7" t="s">
        <v>1</v>
      </c>
      <c r="C103" s="7" t="s">
        <v>70</v>
      </c>
      <c r="D103" s="7" t="s">
        <v>71</v>
      </c>
      <c r="E103" s="34" t="s">
        <v>72</v>
      </c>
      <c r="F103" s="7" t="s">
        <v>73</v>
      </c>
      <c r="G103" s="6">
        <f>ROUND((F104+G110+B124/2)+5,-1)</f>
        <v>110</v>
      </c>
      <c r="H103" s="8"/>
      <c r="I103" s="7" t="s">
        <v>1</v>
      </c>
      <c r="J103" s="7" t="s">
        <v>70</v>
      </c>
      <c r="K103" s="7" t="s">
        <v>71</v>
      </c>
      <c r="L103" s="34" t="s">
        <v>72</v>
      </c>
      <c r="M103" s="7" t="s">
        <v>75</v>
      </c>
      <c r="N103" s="6">
        <f>ROUND((M104+N110+I124/2)+5,-1)</f>
        <v>80</v>
      </c>
    </row>
    <row r="104" spans="2:14" ht="11.25" customHeight="1">
      <c r="B104" s="11"/>
      <c r="C104" s="16">
        <v>4.25</v>
      </c>
      <c r="D104" s="16">
        <v>4.25</v>
      </c>
      <c r="E104" s="6">
        <f>E99</f>
        <v>40</v>
      </c>
      <c r="F104" s="6">
        <f>((0.4+0.6*C$4/400)*(C104/E104))*1000</f>
        <v>90.3125</v>
      </c>
      <c r="G104" s="39">
        <v>150</v>
      </c>
      <c r="H104" s="8"/>
      <c r="I104" s="11"/>
      <c r="J104" s="16">
        <v>2.1</v>
      </c>
      <c r="K104" s="16">
        <v>3.25</v>
      </c>
      <c r="L104" s="6">
        <f>L99</f>
        <v>34.523809523809526</v>
      </c>
      <c r="M104" s="6">
        <f>((0.4+0.6*J$4/400)*(J104/L104))*1000</f>
        <v>51.70344827586207</v>
      </c>
      <c r="N104" s="39">
        <v>150</v>
      </c>
    </row>
    <row r="105" spans="2:14" ht="11.25" customHeight="1">
      <c r="B105" s="7" t="s">
        <v>2</v>
      </c>
      <c r="C105" s="7" t="s">
        <v>86</v>
      </c>
      <c r="D105" s="7" t="s">
        <v>97</v>
      </c>
      <c r="E105" s="7" t="s">
        <v>3</v>
      </c>
      <c r="F105" s="7" t="s">
        <v>58</v>
      </c>
      <c r="G105" s="7" t="s">
        <v>4</v>
      </c>
      <c r="H105" s="8"/>
      <c r="I105" s="7" t="s">
        <v>2</v>
      </c>
      <c r="J105" s="7" t="s">
        <v>86</v>
      </c>
      <c r="K105" s="7" t="s">
        <v>97</v>
      </c>
      <c r="L105" s="7" t="s">
        <v>3</v>
      </c>
      <c r="M105" s="7" t="s">
        <v>58</v>
      </c>
      <c r="N105" s="7" t="s">
        <v>4</v>
      </c>
    </row>
    <row r="106" spans="2:14" ht="11.25" customHeight="1">
      <c r="B106" s="6"/>
      <c r="C106" s="20">
        <f>16*0.003</f>
        <v>0.048</v>
      </c>
      <c r="D106" s="20">
        <f>0.03*23</f>
        <v>0.69</v>
      </c>
      <c r="E106" s="6">
        <f>G104/1000*25</f>
        <v>3.75</v>
      </c>
      <c r="F106" s="20">
        <f>23*0.02</f>
        <v>0.46</v>
      </c>
      <c r="G106" s="6">
        <v>0</v>
      </c>
      <c r="H106" s="8"/>
      <c r="I106" s="6"/>
      <c r="J106" s="20">
        <f>16*0.003</f>
        <v>0.048</v>
      </c>
      <c r="K106" s="20">
        <f>0.03*23</f>
        <v>0.69</v>
      </c>
      <c r="L106" s="6">
        <f>N104/1000*25</f>
        <v>3.75</v>
      </c>
      <c r="M106" s="20">
        <f>23*0.02</f>
        <v>0.46</v>
      </c>
      <c r="N106" s="6">
        <v>0</v>
      </c>
    </row>
    <row r="107" spans="2:14" ht="11.25" customHeight="1">
      <c r="B107" s="7" t="s">
        <v>5</v>
      </c>
      <c r="C107" s="7" t="s">
        <v>94</v>
      </c>
      <c r="D107" s="7" t="s">
        <v>95</v>
      </c>
      <c r="E107" s="7" t="s">
        <v>59</v>
      </c>
      <c r="F107" s="7" t="s">
        <v>23</v>
      </c>
      <c r="G107" s="7" t="s">
        <v>6</v>
      </c>
      <c r="H107" s="8"/>
      <c r="I107" s="7" t="s">
        <v>5</v>
      </c>
      <c r="J107" s="7" t="s">
        <v>94</v>
      </c>
      <c r="K107" s="7" t="s">
        <v>95</v>
      </c>
      <c r="L107" s="7" t="s">
        <v>59</v>
      </c>
      <c r="M107" s="7" t="s">
        <v>23</v>
      </c>
      <c r="N107" s="7" t="s">
        <v>6</v>
      </c>
    </row>
    <row r="108" spans="2:14" ht="11.25" customHeight="1">
      <c r="B108" s="6"/>
      <c r="C108" s="16">
        <v>0</v>
      </c>
      <c r="D108" s="16">
        <v>0.2</v>
      </c>
      <c r="E108" s="16">
        <v>2.74</v>
      </c>
      <c r="F108" s="20">
        <f>14*D108*E108+23*0.05*E108</f>
        <v>10.823000000000002</v>
      </c>
      <c r="G108" s="6">
        <f>F108*C108/(C104*D104)</f>
        <v>0</v>
      </c>
      <c r="H108" s="8"/>
      <c r="I108" s="6"/>
      <c r="J108" s="16">
        <v>0</v>
      </c>
      <c r="K108" s="16">
        <v>0.2</v>
      </c>
      <c r="L108" s="16">
        <v>2.9</v>
      </c>
      <c r="M108" s="20">
        <f>14*K108*L108+23*0.05*L108</f>
        <v>11.455000000000002</v>
      </c>
      <c r="N108" s="6">
        <f>M108*J108/(J104*K104)</f>
        <v>0</v>
      </c>
    </row>
    <row r="109" spans="2:14" ht="11.25" customHeight="1">
      <c r="B109" s="7" t="s">
        <v>7</v>
      </c>
      <c r="C109" s="6"/>
      <c r="D109" s="6"/>
      <c r="E109" s="7">
        <f>+C106+D106+E106+F106+G106+G108</f>
        <v>4.9479999999999995</v>
      </c>
      <c r="F109" s="6"/>
      <c r="G109" s="31" t="s">
        <v>69</v>
      </c>
      <c r="H109" s="8"/>
      <c r="I109" s="7" t="s">
        <v>7</v>
      </c>
      <c r="J109" s="6"/>
      <c r="K109" s="6"/>
      <c r="L109" s="6">
        <f>+J106+K106+L106+M106+N106+N108</f>
        <v>4.9479999999999995</v>
      </c>
      <c r="M109" s="6"/>
      <c r="N109" s="31" t="s">
        <v>69</v>
      </c>
    </row>
    <row r="110" spans="2:14" ht="11.25" customHeight="1">
      <c r="B110" s="7" t="s">
        <v>8</v>
      </c>
      <c r="C110" s="11"/>
      <c r="D110" s="6"/>
      <c r="E110" s="21">
        <v>2</v>
      </c>
      <c r="F110" s="6"/>
      <c r="G110" s="32">
        <v>15</v>
      </c>
      <c r="H110" s="8"/>
      <c r="I110" s="7" t="s">
        <v>8</v>
      </c>
      <c r="J110" s="11"/>
      <c r="K110" s="6"/>
      <c r="L110" s="21">
        <v>2</v>
      </c>
      <c r="M110" s="6"/>
      <c r="N110" s="32">
        <v>15</v>
      </c>
    </row>
    <row r="111" spans="2:14" ht="11.25" customHeight="1">
      <c r="B111" s="7" t="s">
        <v>9</v>
      </c>
      <c r="C111" s="7"/>
      <c r="D111" s="6"/>
      <c r="E111" s="7">
        <f>1.3*E109+1.6*E110</f>
        <v>9.6324</v>
      </c>
      <c r="F111" s="6"/>
      <c r="G111" s="6"/>
      <c r="H111" s="8"/>
      <c r="I111" s="7" t="s">
        <v>9</v>
      </c>
      <c r="J111" s="7"/>
      <c r="K111" s="6"/>
      <c r="L111" s="7">
        <f>1.3*L109+1.6*L110</f>
        <v>9.6324</v>
      </c>
      <c r="M111" s="6"/>
      <c r="N111" s="6"/>
    </row>
    <row r="112" spans="2:14" ht="11.25" customHeight="1">
      <c r="B112" s="22" t="s">
        <v>22</v>
      </c>
      <c r="C112" s="23" t="s">
        <v>24</v>
      </c>
      <c r="D112" s="22" t="s">
        <v>25</v>
      </c>
      <c r="E112" s="23" t="s">
        <v>26</v>
      </c>
      <c r="F112" s="22" t="s">
        <v>27</v>
      </c>
      <c r="G112" s="22" t="s">
        <v>30</v>
      </c>
      <c r="H112" s="8"/>
      <c r="I112" s="22" t="s">
        <v>22</v>
      </c>
      <c r="J112" s="23" t="s">
        <v>24</v>
      </c>
      <c r="K112" s="22" t="s">
        <v>25</v>
      </c>
      <c r="L112" s="23" t="s">
        <v>26</v>
      </c>
      <c r="M112" s="22" t="s">
        <v>27</v>
      </c>
      <c r="N112" s="22" t="s">
        <v>30</v>
      </c>
    </row>
    <row r="113" spans="2:14" ht="11.25" customHeight="1">
      <c r="B113" s="7"/>
      <c r="C113" s="39">
        <f>+IF(F96=1,1.33333333333333,IF(F96&lt;&gt;0,"check data !!! ",0))</f>
        <v>1.33333333333333</v>
      </c>
      <c r="D113" s="39">
        <f>+IF(H96=1,1.33333333333333,IF(H96&lt;&gt;0,"check data !!!",0))</f>
        <v>0</v>
      </c>
      <c r="E113" s="39">
        <f>+IF(G94=1,1.33333333333333,IF(G94&lt;&gt;0,"check data !!!",0))</f>
        <v>0</v>
      </c>
      <c r="F113" s="39">
        <f>+IF(G98=1,1.33333333333333,IF(G98&lt;&gt;0,"check data !!!",0))</f>
        <v>1.33333333333333</v>
      </c>
      <c r="G113" s="39">
        <f>IF((4-G98-H96-G94-F96)&lt;0,"check data !!!",4-G98-H96-G94-F96)</f>
        <v>2</v>
      </c>
      <c r="H113" s="8"/>
      <c r="I113" s="15"/>
      <c r="J113" s="39">
        <f>+IF(M96=1,1.33333333333333,IF(M96&lt;&gt;0,"check data !!! ",0))</f>
        <v>1.33333333333333</v>
      </c>
      <c r="K113" s="39">
        <f>+IF(O96=1,1.33333333333333,IF(O96&lt;&gt;0,"check data !!!",0))</f>
        <v>0</v>
      </c>
      <c r="L113" s="39">
        <f>+IF(N94=1,1.33333333333333,IF(N94&lt;&gt;0,"check data !!!",0))</f>
        <v>0</v>
      </c>
      <c r="M113" s="39">
        <f>+IF(N98=1,1.33333333333333,IF(N98&lt;&gt;0,"check data !!!",0))</f>
        <v>1.33333333333333</v>
      </c>
      <c r="N113" s="39">
        <f>IF((4-N98-O96-N94-M96)&lt;0,"check data !!!",4-N98-O96-N94-M96)</f>
        <v>2</v>
      </c>
    </row>
    <row r="114" spans="2:14" ht="11.25" customHeight="1">
      <c r="B114" s="7" t="s">
        <v>10</v>
      </c>
      <c r="C114" s="33" t="s">
        <v>53</v>
      </c>
      <c r="D114" s="33" t="s">
        <v>50</v>
      </c>
      <c r="E114" s="33" t="s">
        <v>51</v>
      </c>
      <c r="F114" s="33" t="s">
        <v>52</v>
      </c>
      <c r="G114" s="27" t="s">
        <v>28</v>
      </c>
      <c r="H114" s="8"/>
      <c r="I114" s="7" t="s">
        <v>10</v>
      </c>
      <c r="J114" s="33" t="s">
        <v>53</v>
      </c>
      <c r="K114" s="33" t="s">
        <v>50</v>
      </c>
      <c r="L114" s="33" t="s">
        <v>51</v>
      </c>
      <c r="M114" s="33" t="s">
        <v>52</v>
      </c>
      <c r="N114" s="27" t="s">
        <v>28</v>
      </c>
    </row>
    <row r="115" spans="2:17" ht="11.25" customHeight="1">
      <c r="B115" s="7"/>
      <c r="C115" s="12">
        <f>IF(E113&lt;&gt;0,ROUND(4/3*E115,3),IF(F113=0,"0.00",ROUND(4/3*E115,3)))</f>
        <v>0.048</v>
      </c>
      <c r="D115" s="12">
        <f>IF(C113&lt;&gt;0,ROUND(4/3*F115,3),IF(D113=0,"0.00",ROUND(4/3*F115,3)))</f>
        <v>0.045</v>
      </c>
      <c r="E115" s="12">
        <f>+ROUND(G115/(SQRT(1+E113)+SQRT(1+F113))^2,3)</f>
        <v>0.036</v>
      </c>
      <c r="F115" s="12">
        <f>+ROUND((24+2*G113+1.5*(G113*G113))/1000,3)</f>
        <v>0.034</v>
      </c>
      <c r="G115" s="6">
        <f>0.666666666666667*(1-(C104/D104*SQRT(2*F115)*(SQRT(1+C113)+SQRT(1+D113))))</f>
        <v>0.22726803814944685</v>
      </c>
      <c r="H115" s="8"/>
      <c r="I115" s="7"/>
      <c r="J115" s="12">
        <f>IF(L113&lt;&gt;0,ROUND(4/3*L115,3),IF(M113=0,"0.00",ROUND(4/3*L115,3)))</f>
        <v>0.08</v>
      </c>
      <c r="K115" s="12">
        <f>IF(J113&lt;&gt;0,ROUND(4/3*M115,3),IF(K113=0,"0.00",ROUND(4/3*M115,3)))</f>
        <v>0.045</v>
      </c>
      <c r="L115" s="12">
        <f>+ROUND(N115/(SQRT(1+L113)+SQRT(1+M113))^2,3)</f>
        <v>0.06</v>
      </c>
      <c r="M115" s="12">
        <f>+ROUND((24+2*N113+1.5*(N113*N113))/1000,3)</f>
        <v>0.034</v>
      </c>
      <c r="N115" s="6">
        <f>0.666666666666667*(1-(J104/K104*SQRT(2*M115)*(SQRT(1+J113)+SQRT(1+K113))))</f>
        <v>0.3827475528555401</v>
      </c>
      <c r="Q115" t="s">
        <v>89</v>
      </c>
    </row>
    <row r="116" spans="2:14" ht="11.25" customHeight="1">
      <c r="B116" s="7" t="s">
        <v>11</v>
      </c>
      <c r="C116" s="7" t="s">
        <v>12</v>
      </c>
      <c r="D116" s="7" t="s">
        <v>13</v>
      </c>
      <c r="E116" s="7" t="s">
        <v>14</v>
      </c>
      <c r="F116" s="7" t="s">
        <v>15</v>
      </c>
      <c r="G116" s="6"/>
      <c r="H116" s="8"/>
      <c r="I116" s="7" t="s">
        <v>11</v>
      </c>
      <c r="J116" s="7" t="s">
        <v>12</v>
      </c>
      <c r="K116" s="7" t="s">
        <v>13</v>
      </c>
      <c r="L116" s="7" t="s">
        <v>14</v>
      </c>
      <c r="M116" s="7" t="s">
        <v>15</v>
      </c>
      <c r="N116" s="6"/>
    </row>
    <row r="117" spans="2:14" ht="11.25" customHeight="1">
      <c r="B117" s="6"/>
      <c r="C117" s="6">
        <f>C115*E111*C104*C104</f>
        <v>8.351290800000001</v>
      </c>
      <c r="D117" s="6">
        <f>D115*E111*C104*C104</f>
        <v>7.829335125</v>
      </c>
      <c r="E117" s="6">
        <f>E115*E111*C104*C104</f>
        <v>6.2634681</v>
      </c>
      <c r="F117" s="6">
        <f>F115*E111*C104*C104</f>
        <v>5.915497650000001</v>
      </c>
      <c r="G117" s="6"/>
      <c r="H117" s="8"/>
      <c r="I117" s="6"/>
      <c r="J117" s="6">
        <f>J115*L111*J104*J104</f>
        <v>3.3983107200000005</v>
      </c>
      <c r="K117" s="6">
        <f>K115*L111*J104*J104</f>
        <v>1.91154978</v>
      </c>
      <c r="L117" s="6">
        <f>L115*L111*J104*J104</f>
        <v>2.5487330400000006</v>
      </c>
      <c r="M117" s="6">
        <f>M115*L111*J104*J104</f>
        <v>1.4442820560000005</v>
      </c>
      <c r="N117" s="6"/>
    </row>
    <row r="118" spans="2:14" ht="11.25" customHeight="1">
      <c r="B118" s="6" t="s">
        <v>16</v>
      </c>
      <c r="C118" s="10">
        <f>ROUND(C117/(1*((G104-G110-B124/2)/1000)^2)+5,-1)</f>
        <v>490</v>
      </c>
      <c r="D118" s="10">
        <f>ROUND(D117/(1*((G104-G110-B124/2)/1000)^2)+5,-1)</f>
        <v>460</v>
      </c>
      <c r="E118" s="10">
        <f>ROUND(E117/(1*((G104-G110-B124/2)/1000)^2)+5,-1)</f>
        <v>370</v>
      </c>
      <c r="F118" s="10">
        <f>ROUND(F117/(1*((G104-G110-B124/2)/1000)^2)+5,-1)</f>
        <v>350</v>
      </c>
      <c r="G118" s="10"/>
      <c r="H118" s="8"/>
      <c r="I118" s="6" t="s">
        <v>16</v>
      </c>
      <c r="J118" s="10">
        <f>ROUND(J117/(1*((N104-N110-I124/2)/1000)^2)+5,-1)</f>
        <v>200</v>
      </c>
      <c r="K118" s="10">
        <f>ROUND(K117/(1*((N104-N110-I124/2)/1000)^2)+5,-1)</f>
        <v>120</v>
      </c>
      <c r="L118" s="10">
        <f>ROUND(L117/(1*((N104-N110-I124/2)/1000)^2)+5,-1)</f>
        <v>150</v>
      </c>
      <c r="M118" s="10">
        <f>ROUND(M117/(1*((N104-N110-I124/2)/1000)^2)+5,-1)</f>
        <v>90</v>
      </c>
      <c r="N118" s="10"/>
    </row>
    <row r="119" spans="2:14" ht="11.25" customHeight="1">
      <c r="B119" s="13" t="s">
        <v>17</v>
      </c>
      <c r="C119" s="37">
        <f>100*E94/E95*(1-SQRT(1-2*C117*1000000/(E94*1000*(G104-G110-B124/2)^2)))</f>
        <v>0.19073358908539834</v>
      </c>
      <c r="D119" s="37">
        <f>100*E94/E95*(1-SQRT(1-2*D117*1000000/(E94*1000*(G104-G110-B124/2)^2)))</f>
        <v>0.17855689210507347</v>
      </c>
      <c r="E119" s="37">
        <f>100*E94/E95*(1-SQRT(1-2*E117*1000000/(E94*1000*(G104-G110-B124/2)^2)))</f>
        <v>0.14223850170892316</v>
      </c>
      <c r="F119" s="37">
        <f>100*E94/E95*(1-SQRT(1-2*F117*1000000/(E94*1000*(G104-G110-B124/2)^2)))</f>
        <v>0.13421029366762288</v>
      </c>
      <c r="G119" s="6"/>
      <c r="H119" s="8"/>
      <c r="I119" s="13" t="s">
        <v>17</v>
      </c>
      <c r="J119" s="37">
        <f>100*L94/L95*(1-SQRT(1-2*J117*1000000/(L94*1000*(N104-N110-I124/2)^2)))</f>
        <v>0.07658469059538088</v>
      </c>
      <c r="K119" s="37">
        <f>100*L94/L95*(1-SQRT(1-2*K117*1000000/(L94*1000*(N104-N110-I124/2)^2)))</f>
        <v>0.042911108653221355</v>
      </c>
      <c r="L119" s="37">
        <f>100*L94/L95*(1-SQRT(1-2*L117*1000000/(L94*1000*(N104-N110-I124/2)^2)))</f>
        <v>0.05731025694698617</v>
      </c>
      <c r="M119" s="37">
        <f>100*L94/L95*(1-SQRT(1-2*M117*1000000/(L94*1000*(N104-N110-I124/2)^2)))</f>
        <v>0.03238229233904303</v>
      </c>
      <c r="N119" s="6"/>
    </row>
    <row r="120" spans="2:14" ht="11.25" customHeight="1">
      <c r="B120" s="6" t="s">
        <v>35</v>
      </c>
      <c r="C120" s="10">
        <f>ROUND(0.5/300*1000*($G104-$G110-$B124/2),0)</f>
        <v>218</v>
      </c>
      <c r="D120" s="10">
        <f>ROUND(0.5/300*1000*($G104-$G110-$B124/2),0)</f>
        <v>218</v>
      </c>
      <c r="E120" s="10">
        <f>ROUND(0.5/300*1000*($G104-$G110-$B124/2),0)</f>
        <v>218</v>
      </c>
      <c r="F120" s="10">
        <f>ROUND(0.5/300*1000*($G104-$G110-$B124/2),0)</f>
        <v>218</v>
      </c>
      <c r="G120" s="6"/>
      <c r="H120" s="8"/>
      <c r="I120" s="6" t="s">
        <v>18</v>
      </c>
      <c r="J120" s="10">
        <f>ROUND(0.5/300*1000*($N104-$N110-$I124/2),0)</f>
        <v>218</v>
      </c>
      <c r="K120" s="10">
        <f>ROUND(0.5/300*1000*($N104-$N110-$I124/2),0)</f>
        <v>218</v>
      </c>
      <c r="L120" s="10">
        <f>ROUND(0.5/300*1000*($N104-$N110-$I124/2),0)</f>
        <v>218</v>
      </c>
      <c r="M120" s="10">
        <f>ROUND(0.5/300*1000*($N104-$N110-$I124/2),0)</f>
        <v>218</v>
      </c>
      <c r="N120" s="6"/>
    </row>
    <row r="121" spans="2:14" ht="11.25" customHeight="1">
      <c r="B121" s="6" t="s">
        <v>36</v>
      </c>
      <c r="C121" s="40">
        <f>C119*1000*($G104-$G110-$B124/2)/100</f>
        <v>249.86100170187183</v>
      </c>
      <c r="D121" s="40">
        <f>D119*1000*($G104-$G110-$B124/2)/100</f>
        <v>233.90952865764626</v>
      </c>
      <c r="E121" s="40">
        <f>E119*1000*($G104-$G110-$B124/2)/100</f>
        <v>186.33243723868935</v>
      </c>
      <c r="F121" s="40">
        <f>F119*1000*($G104-$G110-$B124/2)/100</f>
        <v>175.81548470458597</v>
      </c>
      <c r="G121" s="6"/>
      <c r="H121" s="8"/>
      <c r="I121" s="6" t="s">
        <v>19</v>
      </c>
      <c r="J121" s="40">
        <f>J119*1000*($N104-$N110-$I124/2)/100</f>
        <v>100.32594467994895</v>
      </c>
      <c r="K121" s="40">
        <f>K119*1000*($N104-$N110-$I124/2)/100</f>
        <v>56.21355233571998</v>
      </c>
      <c r="L121" s="40">
        <f>L119*1000*($N104-$N110-$I124/2)/100</f>
        <v>75.07643660055187</v>
      </c>
      <c r="M121" s="40">
        <f>M119*1000*($N104-$N110-$I124/2)/100</f>
        <v>42.42080296414637</v>
      </c>
      <c r="N121" s="6"/>
    </row>
    <row r="122" spans="2:14" ht="11.25" customHeight="1">
      <c r="B122" s="6" t="s">
        <v>37</v>
      </c>
      <c r="C122" s="40">
        <f>+MAX(C120:C121)</f>
        <v>249.86100170187183</v>
      </c>
      <c r="D122" s="40">
        <f>+MAX(D120:D121)</f>
        <v>233.90952865764626</v>
      </c>
      <c r="E122" s="40">
        <f>+MAX(E120:E121)</f>
        <v>218</v>
      </c>
      <c r="F122" s="40">
        <f>+MAX(F120:F121)</f>
        <v>218</v>
      </c>
      <c r="G122" s="6"/>
      <c r="H122" s="8"/>
      <c r="I122" s="6" t="s">
        <v>20</v>
      </c>
      <c r="J122" s="40">
        <f>+MAX(J120:J121)</f>
        <v>218</v>
      </c>
      <c r="K122" s="40">
        <f>+MAX(K120:K121)</f>
        <v>218</v>
      </c>
      <c r="L122" s="40">
        <f>+MAX(L120:L121)</f>
        <v>218</v>
      </c>
      <c r="M122" s="40">
        <f>+MAX(M120:M121)</f>
        <v>218</v>
      </c>
      <c r="N122" s="6"/>
    </row>
    <row r="123" spans="2:14" ht="11.25" customHeight="1">
      <c r="B123" s="26" t="s">
        <v>38</v>
      </c>
      <c r="C123" s="10" t="s">
        <v>21</v>
      </c>
      <c r="D123" s="10" t="s">
        <v>21</v>
      </c>
      <c r="E123" s="10" t="s">
        <v>21</v>
      </c>
      <c r="F123" s="10" t="s">
        <v>21</v>
      </c>
      <c r="G123" s="6"/>
      <c r="H123" s="8"/>
      <c r="I123" s="26" t="s">
        <v>29</v>
      </c>
      <c r="J123" s="10" t="s">
        <v>21</v>
      </c>
      <c r="K123" s="10" t="s">
        <v>21</v>
      </c>
      <c r="L123" s="10" t="s">
        <v>21</v>
      </c>
      <c r="M123" s="10" t="s">
        <v>21</v>
      </c>
      <c r="N123" s="6"/>
    </row>
    <row r="124" spans="2:14" ht="11.25" customHeight="1">
      <c r="B124" s="16">
        <v>8</v>
      </c>
      <c r="C124" s="10">
        <f>ROUND(1000/C127+0.5,0)+1</f>
        <v>7</v>
      </c>
      <c r="D124" s="10">
        <f>ROUND(1000/D127+0.5,0)+1</f>
        <v>6</v>
      </c>
      <c r="E124" s="10">
        <f>ROUND(1000/E127+0.5,0)+1</f>
        <v>6</v>
      </c>
      <c r="F124" s="10">
        <f>ROUND(1000/F127+0.5,0)+1</f>
        <v>6</v>
      </c>
      <c r="G124" s="6"/>
      <c r="H124" s="8"/>
      <c r="I124" s="16">
        <v>8</v>
      </c>
      <c r="J124" s="10">
        <f>ROUND(1000/J127+0.5,0)+1</f>
        <v>6</v>
      </c>
      <c r="K124" s="10">
        <f>ROUND(1000/K127+0.5,0)+1</f>
        <v>6</v>
      </c>
      <c r="L124" s="10">
        <f>ROUND(1000/L127+0.5,0)+1</f>
        <v>6</v>
      </c>
      <c r="M124" s="10">
        <f>ROUND(1000/M127+0.5,0)+1</f>
        <v>6</v>
      </c>
      <c r="N124" s="6"/>
    </row>
    <row r="125" spans="2:14" ht="11.25" customHeight="1">
      <c r="B125" s="25" t="s">
        <v>31</v>
      </c>
      <c r="C125" s="10">
        <f>2*G104</f>
        <v>300</v>
      </c>
      <c r="D125" s="10">
        <f>2*G104</f>
        <v>300</v>
      </c>
      <c r="E125" s="10">
        <f>2*G104</f>
        <v>300</v>
      </c>
      <c r="F125" s="10">
        <f>2*G104</f>
        <v>300</v>
      </c>
      <c r="G125" s="6"/>
      <c r="H125" s="8"/>
      <c r="I125" s="25" t="s">
        <v>31</v>
      </c>
      <c r="J125" s="10">
        <f>2*N104</f>
        <v>300</v>
      </c>
      <c r="K125" s="10">
        <f>2*N104</f>
        <v>300</v>
      </c>
      <c r="L125" s="10">
        <f>2*N104</f>
        <v>300</v>
      </c>
      <c r="M125" s="10">
        <f>2*N104</f>
        <v>300</v>
      </c>
      <c r="N125" s="6"/>
    </row>
    <row r="126" spans="2:14" ht="11.25" customHeight="1">
      <c r="B126" s="25" t="s">
        <v>34</v>
      </c>
      <c r="C126" s="6">
        <f>ROUND((1000*PI()*(B124^2/4))/C122-5,-1)</f>
        <v>200</v>
      </c>
      <c r="D126" s="6">
        <f>ROUND((1000*PI()*(B124^2/4))/D122-5,-1)</f>
        <v>210</v>
      </c>
      <c r="E126" s="6">
        <f>ROUND((1000*PI()*(B124^2/4))/E122-5,-1)</f>
        <v>230</v>
      </c>
      <c r="F126" s="6">
        <f>ROUND((1000*PI()*(B124^2/4))/F122-5,-1)</f>
        <v>230</v>
      </c>
      <c r="G126" s="6"/>
      <c r="H126" s="8"/>
      <c r="I126" s="25" t="s">
        <v>32</v>
      </c>
      <c r="J126" s="6">
        <f>ROUND((1000*PI()*(I124^2/4))/J122-5,-1)</f>
        <v>230</v>
      </c>
      <c r="K126" s="6">
        <f>ROUND((1000*PI()*(I124^2/4))/K122-5,-1)</f>
        <v>230</v>
      </c>
      <c r="L126" s="6">
        <f>ROUND((1000*PI()*(I124^2/4))/L122-5,-1)</f>
        <v>230</v>
      </c>
      <c r="M126" s="6">
        <f>ROUND((1000*PI()*(I124^2/4))/M122-5,-1)</f>
        <v>230</v>
      </c>
      <c r="N126" s="6"/>
    </row>
    <row r="127" spans="2:14" ht="11.25" customHeight="1">
      <c r="B127" s="25" t="s">
        <v>33</v>
      </c>
      <c r="C127" s="6">
        <f>MIN(C125:C126)</f>
        <v>200</v>
      </c>
      <c r="D127" s="6">
        <f>MIN(D125:D126)</f>
        <v>210</v>
      </c>
      <c r="E127" s="6">
        <f>MIN(E125:E126)</f>
        <v>230</v>
      </c>
      <c r="F127" s="6">
        <f>MIN(F125:F126)</f>
        <v>230</v>
      </c>
      <c r="G127" s="6"/>
      <c r="H127" s="8"/>
      <c r="I127" s="25" t="s">
        <v>33</v>
      </c>
      <c r="J127" s="6">
        <f>MIN(J125:J126)</f>
        <v>230</v>
      </c>
      <c r="K127" s="6">
        <f>MIN(K125:K126)</f>
        <v>230</v>
      </c>
      <c r="L127" s="6">
        <f>MIN(L125:L126)</f>
        <v>230</v>
      </c>
      <c r="M127" s="6">
        <f>MIN(M125:M126)</f>
        <v>230</v>
      </c>
      <c r="N127" s="6"/>
    </row>
    <row r="128" spans="2:14" ht="15.75">
      <c r="B128" s="25"/>
      <c r="C128" s="61" t="s">
        <v>45</v>
      </c>
      <c r="D128" s="61"/>
      <c r="E128" s="61"/>
      <c r="F128" s="43" t="s">
        <v>83</v>
      </c>
      <c r="G128" s="44">
        <f>+D99</f>
        <v>1</v>
      </c>
      <c r="H128" s="8"/>
      <c r="I128" s="25"/>
      <c r="J128" s="61" t="s">
        <v>45</v>
      </c>
      <c r="K128" s="61"/>
      <c r="L128" s="61"/>
      <c r="M128" s="43" t="s">
        <v>83</v>
      </c>
      <c r="N128" s="44">
        <f>+K99</f>
        <v>1.5476190476190474</v>
      </c>
    </row>
    <row r="129" spans="2:14" ht="11.25" customHeight="1">
      <c r="B129" s="29" t="s">
        <v>44</v>
      </c>
      <c r="C129" s="34" t="s">
        <v>54</v>
      </c>
      <c r="D129" s="34" t="s">
        <v>55</v>
      </c>
      <c r="E129" s="34" t="s">
        <v>56</v>
      </c>
      <c r="F129" s="34" t="s">
        <v>57</v>
      </c>
      <c r="G129" s="10"/>
      <c r="H129" s="19"/>
      <c r="I129" s="29" t="s">
        <v>44</v>
      </c>
      <c r="J129" s="34" t="s">
        <v>54</v>
      </c>
      <c r="K129" s="34" t="s">
        <v>55</v>
      </c>
      <c r="L129" s="34" t="s">
        <v>56</v>
      </c>
      <c r="M129" s="34" t="s">
        <v>57</v>
      </c>
      <c r="N129" s="10"/>
    </row>
    <row r="130" spans="2:14" ht="11.25" customHeight="1">
      <c r="B130" s="28"/>
      <c r="C130" s="37">
        <f>+IF(G93=2,0.666666666666667-5/(18*G128),IF(G93=3,0.8-0.48/G128,IF(G93=4,0.8-0.4/G128,IF(G93=5,0.666666666666667-0.8/(3*G128),IF(G93=6,0,IF(G93=7,0.8-0.32/G128,IF(G93=8,0,IF(G93=1,0.333333333333333*(2-1/G128),0))))))))</f>
        <v>0.4</v>
      </c>
      <c r="D130" s="37">
        <f>+IF(G93=2,0,IF(G93=3,1.6/3-0.32/G128,IF(G93=4,1.6/3-0.8/(3*G128),IF(G93=5,0,IF(G93=6,0.666666666666667-0.4/G128,IF(G93=7,1.6/3-0.64/(3*G128),IF(G93=8,0.666666666666667-1.1/(3*G128),IF(G93=9,0.333333333333333*(2-1/G128),0))))))))</f>
        <v>0.26666666666666666</v>
      </c>
      <c r="E130" s="37">
        <f>+IF(G93=1,0.33,IF(G93=2,0.36,IF(G93=3,0.36,IF(G93=4,0.4,IF(G93=6,0.4,IF(G93=8,0.45,0))))))</f>
        <v>0.4</v>
      </c>
      <c r="F130" s="37">
        <f>+IF(G93=2,0.24,IF(G93=4,0.26,IF(G93=5,0.26,IF(G93=7,0.3,IF(G93=8,0.3,IF(G93=9,0.33,0))))))</f>
        <v>0.26</v>
      </c>
      <c r="G130" s="28"/>
      <c r="H130" s="8"/>
      <c r="I130" s="28"/>
      <c r="J130" s="37">
        <f>+IF(N93=2,0.666666666666667-5/(18*N128),IF(N93=3,0.8-0.48/N128,IF(N93=4,0.8-0.4/N128,IF(N93=5,0.666666666666667-0.8/(3*N128),IF(N93=6,0,IF(N93=7,0.8-0.32/N128,IF(N93=8,0,IF(N93=1,0.333333333333333*(2-1/N128),0))))))))</f>
        <v>0.5415384615384615</v>
      </c>
      <c r="K130" s="37">
        <f>+IF(N93=2,0,IF(N93=3,1.6/3-0.32/N128,IF(N93=4,1.6/3-0.8/(3*N128),IF(N93=5,0,IF(N93=6,0.666666666666667-0.4/N128,IF(N93=7,1.6/3-0.64/(3*N128),IF(N93=8,0.666666666666667-1.1/(3*N128),IF(N93=9,0.333333333333333*(2-1/N128),0))))))))</f>
        <v>0.361025641025641</v>
      </c>
      <c r="L130" s="37">
        <f>+IF(N93=1,0.33,IF(N93=2,0.36,IF(N93=3,0.36,IF(N93=4,0.4,IF(N93=6,0.4,IF(N93=8,0.45,0))))))</f>
        <v>0.4</v>
      </c>
      <c r="M130" s="37">
        <f>+IF(N93=2,0.24,IF(N93=4,0.26,IF(N93=5,0.26,IF(N93=7,0.3,IF(N93=8,0.3,IF(N93=9,0.33,0))))))</f>
        <v>0.26</v>
      </c>
      <c r="N130" s="28"/>
    </row>
    <row r="131" spans="2:14" ht="11.25" customHeight="1">
      <c r="B131" s="30" t="s">
        <v>43</v>
      </c>
      <c r="C131" s="31" t="s">
        <v>46</v>
      </c>
      <c r="D131" s="31" t="s">
        <v>47</v>
      </c>
      <c r="E131" s="31" t="s">
        <v>48</v>
      </c>
      <c r="F131" s="31" t="s">
        <v>49</v>
      </c>
      <c r="G131" s="10"/>
      <c r="H131" s="8"/>
      <c r="I131" s="30" t="s">
        <v>43</v>
      </c>
      <c r="J131" s="31" t="s">
        <v>39</v>
      </c>
      <c r="K131" s="31" t="s">
        <v>40</v>
      </c>
      <c r="L131" s="31" t="s">
        <v>41</v>
      </c>
      <c r="M131" s="31" t="s">
        <v>42</v>
      </c>
      <c r="N131" s="10"/>
    </row>
    <row r="132" spans="2:14" ht="11.25" customHeight="1">
      <c r="B132" s="30" t="s">
        <v>82</v>
      </c>
      <c r="C132" s="37">
        <f>0.914*IF(C130=0,"N.A.",C130*C104*E111)</f>
        <v>14.966823120000004</v>
      </c>
      <c r="D132" s="37">
        <f>0.914*IF(D130=0,"N.A.",D130*C104*E111)</f>
        <v>9.97788208</v>
      </c>
      <c r="E132" s="37">
        <f>0.914*IF(E130=0,"N.A.",E130*C104*E111)</f>
        <v>14.966823120000004</v>
      </c>
      <c r="F132" s="37">
        <f>0.914*IF(F130=0,"N.A.",F130*C104*E111)</f>
        <v>9.728435028000002</v>
      </c>
      <c r="G132" s="10"/>
      <c r="H132" s="8"/>
      <c r="I132" s="30" t="s">
        <v>82</v>
      </c>
      <c r="J132" s="37">
        <f>0.914*IF(J130=0,"N.A.",J130*J104*L111)</f>
        <v>10.012195158646154</v>
      </c>
      <c r="K132" s="37">
        <f>0.914*IF(K130=0,"N.A.",K130*J104*L111)</f>
        <v>6.67479677243077</v>
      </c>
      <c r="L132" s="37">
        <f>0.914*IF(L130=0,"N.A.",L130*J104*L111)</f>
        <v>7.395371424000001</v>
      </c>
      <c r="M132" s="37">
        <f>0.914*IF(M130=0,"N.A.",M130*J104*L111)</f>
        <v>4.806991425600001</v>
      </c>
      <c r="N132" s="10"/>
    </row>
    <row r="133" spans="2:14" ht="11.25" customHeight="1">
      <c r="B133" s="30" t="s">
        <v>8</v>
      </c>
      <c r="C133" s="37">
        <f>IF(C130=0,"N.A.",C130*C104*E110)</f>
        <v>3.4000000000000004</v>
      </c>
      <c r="D133" s="37">
        <f>IF(D130=0,"N.A.",D130*C104*E110)</f>
        <v>2.2666666666666666</v>
      </c>
      <c r="E133" s="37">
        <f>IF(E130=0,"N.A.",E130*E110*C104)</f>
        <v>3.4000000000000004</v>
      </c>
      <c r="F133" s="37">
        <f>IF(F130=0,"N.A.",F130*E110*C104)</f>
        <v>2.21</v>
      </c>
      <c r="G133" s="10"/>
      <c r="H133" s="8"/>
      <c r="I133" s="30" t="s">
        <v>8</v>
      </c>
      <c r="J133" s="37">
        <f>IF(J130=0,"N.A.",J130*J104*L110)</f>
        <v>2.2744615384615385</v>
      </c>
      <c r="K133" s="37">
        <f>IF(K130=0,"N.A.",K130*J104*L110)</f>
        <v>1.5163076923076924</v>
      </c>
      <c r="L133" s="37">
        <f>IF(L130=0,"N.A.",L130*L110*J104)</f>
        <v>1.6800000000000002</v>
      </c>
      <c r="M133" s="37">
        <f>IF(M130=0,"N.A.",M130*L110*J104)</f>
        <v>1.092</v>
      </c>
      <c r="N133" s="10"/>
    </row>
    <row r="134" spans="2:14" ht="11.25" customHeight="1">
      <c r="B134" s="30" t="s">
        <v>78</v>
      </c>
      <c r="C134" s="37">
        <f>IF(C130=0,"N.A.",C130*C104*E109)</f>
        <v>8.4116</v>
      </c>
      <c r="D134" s="37">
        <f>IF(D130=0,"N.A.",D130*E109*C104)</f>
        <v>5.607733333333333</v>
      </c>
      <c r="E134" s="37">
        <f>IF(E130=0,"N.A.",E130*E109*C104)</f>
        <v>8.4116</v>
      </c>
      <c r="F134" s="37">
        <f>IF(F130=0,"N.A.",F130*E109*C104)</f>
        <v>5.46754</v>
      </c>
      <c r="G134" s="28"/>
      <c r="H134" s="8"/>
      <c r="I134" s="30" t="s">
        <v>78</v>
      </c>
      <c r="J134" s="37">
        <f>IF(J130=0,"N.A.",J130*J104*L109)</f>
        <v>5.627017846153846</v>
      </c>
      <c r="K134" s="37">
        <f>IF(K130=0,"N.A.",K130*L109*J104)</f>
        <v>3.75134523076923</v>
      </c>
      <c r="L134" s="37">
        <f>IF(L130=0,"N.A.",L130*L109*J104)</f>
        <v>4.15632</v>
      </c>
      <c r="M134" s="37">
        <f>IF(M130=0,"N.A.",M130*L109*J104)</f>
        <v>2.701608</v>
      </c>
      <c r="N134" s="28"/>
    </row>
    <row r="135" spans="2:14" ht="11.25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1.25" customHeight="1">
      <c r="B136" s="35" t="s">
        <v>60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3.5">
      <c r="B137" s="35" t="s">
        <v>61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5" ht="11.25" customHeight="1">
      <c r="B138" s="35"/>
      <c r="C138" s="8"/>
      <c r="D138" s="8"/>
      <c r="E138" s="8"/>
      <c r="F138" s="8"/>
      <c r="G138" s="8"/>
      <c r="H138" s="8"/>
      <c r="I138" s="35"/>
      <c r="J138" s="8"/>
      <c r="K138" s="8"/>
      <c r="L138" s="8"/>
      <c r="M138" s="8"/>
      <c r="N138" s="8"/>
      <c r="O138" s="8"/>
    </row>
    <row r="139" spans="1:16" s="58" customFormat="1" ht="19.5" customHeight="1">
      <c r="A139" s="56"/>
      <c r="B139" s="57"/>
      <c r="C139" s="57"/>
      <c r="E139" s="62" t="s">
        <v>84</v>
      </c>
      <c r="F139" s="62"/>
      <c r="G139" s="41">
        <f>+IF(G140+F142+G144+H142=4,1,IF(G140+G144+MAX(F142,H142)=3,2,IF(F142+H142+MAX(G140,G144)=3,3,IF(MAX(G140,G144)+MAX(F142,H142)=2,4,IF(G144+G140=2,5,IF(F142+H142=2,6,IF(G144+G140=1,7,IF(F142+H142=1,8,9))))))))</f>
        <v>4</v>
      </c>
      <c r="H139" s="59"/>
      <c r="I139"/>
      <c r="J139" s="8"/>
      <c r="K139"/>
      <c r="L139" s="62" t="s">
        <v>84</v>
      </c>
      <c r="M139" s="62"/>
      <c r="N139" s="41">
        <f>+IF(N140+M142+N144+O142=4,1,IF(N140+N144+MAX(M142,O142)=3,2,IF(M142+O142+MAX(N140,N144)=3,3,IF(MAX(N140,N144)+MAX(M142,O142)=2,4,IF(N144+N140=2,5,IF(M142+O142=2,6,IF(N144+N140=1,7,IF(M142+O142=1,8,9))))))))</f>
        <v>4</v>
      </c>
      <c r="O139" s="8"/>
      <c r="P139" s="8"/>
    </row>
    <row r="140" spans="2:14" ht="11.25" customHeight="1">
      <c r="B140" s="6" t="s">
        <v>62</v>
      </c>
      <c r="C140" s="21">
        <v>20</v>
      </c>
      <c r="D140" s="6" t="s">
        <v>64</v>
      </c>
      <c r="E140" s="6">
        <f>C140/1.5*0.85</f>
        <v>11.333333333333334</v>
      </c>
      <c r="F140" s="3"/>
      <c r="G140" s="47">
        <v>0</v>
      </c>
      <c r="H140" s="2"/>
      <c r="I140" s="6" t="s">
        <v>62</v>
      </c>
      <c r="J140" s="21">
        <v>20</v>
      </c>
      <c r="K140" s="6" t="s">
        <v>64</v>
      </c>
      <c r="L140" s="6">
        <f>J140/1.5*0.85</f>
        <v>11.333333333333334</v>
      </c>
      <c r="M140" s="3"/>
      <c r="N140" s="47">
        <v>0</v>
      </c>
    </row>
    <row r="141" spans="2:14" ht="11.25" customHeight="1">
      <c r="B141" s="6" t="s">
        <v>63</v>
      </c>
      <c r="C141" s="21">
        <v>300</v>
      </c>
      <c r="D141" s="6" t="s">
        <v>65</v>
      </c>
      <c r="E141" s="6">
        <f>C141/1.15</f>
        <v>260.86956521739125</v>
      </c>
      <c r="F141" s="8"/>
      <c r="G141" s="24"/>
      <c r="H141" s="8"/>
      <c r="I141" s="6" t="s">
        <v>63</v>
      </c>
      <c r="J141" s="21">
        <v>300</v>
      </c>
      <c r="K141" s="6" t="s">
        <v>65</v>
      </c>
      <c r="L141" s="6">
        <f>J141/1.15</f>
        <v>260.86956521739125</v>
      </c>
      <c r="M141" s="8"/>
      <c r="N141" s="17"/>
    </row>
    <row r="142" spans="2:15" ht="19.5" customHeight="1">
      <c r="B142" s="8"/>
      <c r="C142" s="8"/>
      <c r="D142" s="8"/>
      <c r="E142" s="8"/>
      <c r="F142" s="46">
        <v>1</v>
      </c>
      <c r="G142" s="60" t="s">
        <v>85</v>
      </c>
      <c r="H142" s="48">
        <v>0</v>
      </c>
      <c r="I142" s="8"/>
      <c r="J142" s="8"/>
      <c r="K142" s="8"/>
      <c r="L142" s="8"/>
      <c r="M142" s="46">
        <v>1</v>
      </c>
      <c r="N142" s="60" t="s">
        <v>100</v>
      </c>
      <c r="O142" s="48">
        <v>0</v>
      </c>
    </row>
    <row r="143" spans="2:14" ht="11.25" customHeight="1">
      <c r="B143" s="9"/>
      <c r="C143" s="9"/>
      <c r="D143" s="9"/>
      <c r="E143" s="9"/>
      <c r="F143" s="8"/>
      <c r="G143" s="18"/>
      <c r="H143" s="8"/>
      <c r="I143" s="9"/>
      <c r="J143" s="9"/>
      <c r="K143" s="9"/>
      <c r="L143" s="9"/>
      <c r="M143" s="8"/>
      <c r="N143" s="18"/>
    </row>
    <row r="144" spans="2:14" ht="11.25" customHeight="1">
      <c r="B144" s="36" t="s">
        <v>66</v>
      </c>
      <c r="C144" s="36" t="s">
        <v>67</v>
      </c>
      <c r="D144" s="10" t="s">
        <v>0</v>
      </c>
      <c r="E144" s="36" t="s">
        <v>68</v>
      </c>
      <c r="F144" s="8"/>
      <c r="G144" s="49">
        <v>1</v>
      </c>
      <c r="H144" s="8"/>
      <c r="I144" s="36" t="s">
        <v>66</v>
      </c>
      <c r="J144" s="36" t="s">
        <v>67</v>
      </c>
      <c r="K144" s="10" t="s">
        <v>0</v>
      </c>
      <c r="L144" s="36" t="s">
        <v>68</v>
      </c>
      <c r="M144" s="8"/>
      <c r="N144" s="49">
        <v>1</v>
      </c>
    </row>
    <row r="145" spans="2:14" ht="11.25" customHeight="1">
      <c r="B145" s="7">
        <f>+IF((F142+H142+G140+G144=4),35,IF((F142+H142+G140+G144=0),25,30))</f>
        <v>30</v>
      </c>
      <c r="C145" s="7">
        <f>+IF((F142+H142+G140+G144=4),45,IF(F142+G144+H142+G140=0,35,40))</f>
        <v>40</v>
      </c>
      <c r="D145" s="7">
        <f>D150/C150</f>
        <v>1.223529411764706</v>
      </c>
      <c r="E145" s="7">
        <f>IF(G142&lt;&gt;"c",B145*(D145-1)+C145*(2-D145),10)</f>
        <v>37.76470588235294</v>
      </c>
      <c r="F145" s="35">
        <v>1</v>
      </c>
      <c r="G145" s="38" t="s">
        <v>77</v>
      </c>
      <c r="H145" s="8"/>
      <c r="I145" s="7">
        <f>+IF((M142+O142+N140+N144=4),35,IF((M142+O142+N140+N144=0),25,30))</f>
        <v>30</v>
      </c>
      <c r="J145" s="7">
        <f>+IF((M142+O142+N140+N144=4),45,IF(M142+N144+O142+N140=0,35,40))</f>
        <v>40</v>
      </c>
      <c r="K145" s="7">
        <f>K150/J150</f>
        <v>1.5267175572519083</v>
      </c>
      <c r="L145" s="7">
        <f>IF(N142&lt;&gt;"c",I145*(K145-1)+J145*(2-K145),10)</f>
        <v>34.73282442748092</v>
      </c>
      <c r="M145" s="35">
        <v>1</v>
      </c>
      <c r="N145" s="38" t="s">
        <v>77</v>
      </c>
    </row>
    <row r="146" spans="2:14" ht="11.25" customHeight="1">
      <c r="B146" s="5"/>
      <c r="C146" s="5"/>
      <c r="D146" s="5"/>
      <c r="E146" s="5"/>
      <c r="F146" s="35">
        <v>0</v>
      </c>
      <c r="G146" s="38" t="s">
        <v>76</v>
      </c>
      <c r="H146" s="8"/>
      <c r="I146" s="5"/>
      <c r="J146" s="5"/>
      <c r="K146" s="5"/>
      <c r="L146" s="5"/>
      <c r="M146" s="35">
        <v>0</v>
      </c>
      <c r="N146" s="38" t="s">
        <v>76</v>
      </c>
    </row>
    <row r="147" spans="2:14" ht="11.25" customHeight="1">
      <c r="B147" s="4"/>
      <c r="C147" s="4"/>
      <c r="D147" s="5"/>
      <c r="E147" s="5"/>
      <c r="F147" s="5"/>
      <c r="G147" s="5"/>
      <c r="H147" s="8"/>
      <c r="I147" s="4"/>
      <c r="J147" s="4"/>
      <c r="K147" s="5"/>
      <c r="L147" s="5"/>
      <c r="M147" s="5"/>
      <c r="N147" s="5"/>
    </row>
    <row r="148" spans="2:14" ht="11.25" customHeight="1">
      <c r="B148" s="7" t="s">
        <v>79</v>
      </c>
      <c r="C148" s="10" t="str">
        <f>+G142</f>
        <v>S-4</v>
      </c>
      <c r="D148" s="6"/>
      <c r="E148" s="6"/>
      <c r="F148" s="6"/>
      <c r="G148" s="7" t="s">
        <v>74</v>
      </c>
      <c r="H148" s="8"/>
      <c r="I148" s="7" t="s">
        <v>79</v>
      </c>
      <c r="J148" s="10" t="str">
        <f>+N142</f>
        <v>S-8</v>
      </c>
      <c r="K148" s="6"/>
      <c r="L148" s="6"/>
      <c r="M148" s="6"/>
      <c r="N148" s="7" t="s">
        <v>74</v>
      </c>
    </row>
    <row r="149" spans="2:14" ht="11.25" customHeight="1">
      <c r="B149" s="7" t="s">
        <v>1</v>
      </c>
      <c r="C149" s="7" t="s">
        <v>70</v>
      </c>
      <c r="D149" s="7" t="s">
        <v>71</v>
      </c>
      <c r="E149" s="34" t="s">
        <v>72</v>
      </c>
      <c r="F149" s="7" t="s">
        <v>73</v>
      </c>
      <c r="G149" s="6">
        <f>ROUND((F150+G156+B170/2)+5,-1)</f>
        <v>120</v>
      </c>
      <c r="H149" s="8"/>
      <c r="I149" s="7" t="s">
        <v>1</v>
      </c>
      <c r="J149" s="7" t="s">
        <v>70</v>
      </c>
      <c r="K149" s="7" t="s">
        <v>71</v>
      </c>
      <c r="L149" s="34" t="s">
        <v>72</v>
      </c>
      <c r="M149" s="7" t="s">
        <v>75</v>
      </c>
      <c r="N149" s="6">
        <f>ROUND((M150+N156+I170/2)+5,-1)</f>
        <v>60</v>
      </c>
    </row>
    <row r="150" spans="2:14" ht="11.25" customHeight="1">
      <c r="B150" s="11"/>
      <c r="C150" s="16">
        <v>4.25</v>
      </c>
      <c r="D150" s="16">
        <v>5.2</v>
      </c>
      <c r="E150" s="6">
        <f>E145</f>
        <v>37.76470588235294</v>
      </c>
      <c r="F150" s="6">
        <f>((0.4+0.6*C$4/400)*(C150/E150))*1000</f>
        <v>95.65809968847353</v>
      </c>
      <c r="G150" s="39">
        <v>150</v>
      </c>
      <c r="H150" s="8"/>
      <c r="I150" s="11"/>
      <c r="J150" s="16">
        <v>1.31</v>
      </c>
      <c r="K150" s="16">
        <v>2</v>
      </c>
      <c r="L150" s="6">
        <f>L145</f>
        <v>34.73282442748092</v>
      </c>
      <c r="M150" s="6">
        <f>((0.4+0.6*J$4/400)*(J150/L150))*1000</f>
        <v>32.05901098901099</v>
      </c>
      <c r="N150" s="39">
        <v>150</v>
      </c>
    </row>
    <row r="151" spans="2:14" ht="11.25" customHeight="1">
      <c r="B151" s="7" t="s">
        <v>2</v>
      </c>
      <c r="C151" s="7" t="s">
        <v>86</v>
      </c>
      <c r="D151" s="7" t="s">
        <v>97</v>
      </c>
      <c r="E151" s="7" t="s">
        <v>3</v>
      </c>
      <c r="F151" s="7" t="s">
        <v>58</v>
      </c>
      <c r="G151" s="7" t="s">
        <v>4</v>
      </c>
      <c r="H151" s="8"/>
      <c r="I151" s="7" t="s">
        <v>2</v>
      </c>
      <c r="J151" s="7" t="s">
        <v>86</v>
      </c>
      <c r="K151" s="7" t="s">
        <v>97</v>
      </c>
      <c r="L151" s="7" t="s">
        <v>3</v>
      </c>
      <c r="M151" s="7" t="s">
        <v>58</v>
      </c>
      <c r="N151" s="7" t="s">
        <v>4</v>
      </c>
    </row>
    <row r="152" spans="2:14" ht="11.25" customHeight="1">
      <c r="B152" s="6"/>
      <c r="C152" s="20">
        <f>16*0.003</f>
        <v>0.048</v>
      </c>
      <c r="D152" s="20">
        <f>0.03*23</f>
        <v>0.69</v>
      </c>
      <c r="E152" s="6">
        <f>G150/1000*25</f>
        <v>3.75</v>
      </c>
      <c r="F152" s="20">
        <f>23*0.02</f>
        <v>0.46</v>
      </c>
      <c r="G152" s="6">
        <v>0</v>
      </c>
      <c r="H152" s="8"/>
      <c r="I152" s="6"/>
      <c r="J152" s="20">
        <f>16*0.003</f>
        <v>0.048</v>
      </c>
      <c r="K152" s="20">
        <f>0.03*23</f>
        <v>0.69</v>
      </c>
      <c r="L152" s="6">
        <f>N150/1000*25</f>
        <v>3.75</v>
      </c>
      <c r="M152" s="20">
        <f>23*0.02</f>
        <v>0.46</v>
      </c>
      <c r="N152" s="6">
        <v>0</v>
      </c>
    </row>
    <row r="153" spans="2:14" ht="11.25" customHeight="1">
      <c r="B153" s="7" t="s">
        <v>5</v>
      </c>
      <c r="C153" s="7" t="s">
        <v>94</v>
      </c>
      <c r="D153" s="7" t="s">
        <v>95</v>
      </c>
      <c r="E153" s="7" t="s">
        <v>59</v>
      </c>
      <c r="F153" s="7" t="s">
        <v>23</v>
      </c>
      <c r="G153" s="7" t="s">
        <v>6</v>
      </c>
      <c r="H153" s="8"/>
      <c r="I153" s="7" t="s">
        <v>5</v>
      </c>
      <c r="J153" s="7" t="s">
        <v>94</v>
      </c>
      <c r="K153" s="7" t="s">
        <v>95</v>
      </c>
      <c r="L153" s="7" t="s">
        <v>59</v>
      </c>
      <c r="M153" s="7" t="s">
        <v>23</v>
      </c>
      <c r="N153" s="7" t="s">
        <v>6</v>
      </c>
    </row>
    <row r="154" spans="2:14" ht="11.25" customHeight="1">
      <c r="B154" s="6"/>
      <c r="C154" s="16">
        <v>0</v>
      </c>
      <c r="D154" s="16">
        <v>0.2</v>
      </c>
      <c r="E154" s="16">
        <v>2.8</v>
      </c>
      <c r="F154" s="20">
        <f>14*D154*E154+23*0.05*E154</f>
        <v>11.06</v>
      </c>
      <c r="G154" s="6">
        <f>F154*C154/(C150*D150)</f>
        <v>0</v>
      </c>
      <c r="H154" s="8"/>
      <c r="I154" s="6"/>
      <c r="J154" s="16">
        <v>0</v>
      </c>
      <c r="K154" s="16">
        <v>0.2</v>
      </c>
      <c r="L154" s="16">
        <v>2.9</v>
      </c>
      <c r="M154" s="20">
        <f>14*K154*L154+23*0.05*L154</f>
        <v>11.455000000000002</v>
      </c>
      <c r="N154" s="6">
        <f>M154*J154/(J150*K150)</f>
        <v>0</v>
      </c>
    </row>
    <row r="155" spans="2:14" ht="11.25" customHeight="1">
      <c r="B155" s="7" t="s">
        <v>7</v>
      </c>
      <c r="C155" s="6"/>
      <c r="D155" s="6"/>
      <c r="E155" s="7">
        <f>+C152+D152+E152+F152+G152+G154</f>
        <v>4.9479999999999995</v>
      </c>
      <c r="F155" s="6"/>
      <c r="G155" s="31" t="s">
        <v>69</v>
      </c>
      <c r="H155" s="8"/>
      <c r="I155" s="7" t="s">
        <v>7</v>
      </c>
      <c r="J155" s="6"/>
      <c r="K155" s="6"/>
      <c r="L155" s="6">
        <f>+J152+K152+L152+M152+N152+N154</f>
        <v>4.9479999999999995</v>
      </c>
      <c r="M155" s="6"/>
      <c r="N155" s="31" t="s">
        <v>69</v>
      </c>
    </row>
    <row r="156" spans="2:14" ht="11.25" customHeight="1">
      <c r="B156" s="7" t="s">
        <v>8</v>
      </c>
      <c r="C156" s="11"/>
      <c r="D156" s="6"/>
      <c r="E156" s="21">
        <v>2</v>
      </c>
      <c r="F156" s="6"/>
      <c r="G156" s="32">
        <v>15</v>
      </c>
      <c r="H156" s="8"/>
      <c r="I156" s="7" t="s">
        <v>8</v>
      </c>
      <c r="J156" s="11"/>
      <c r="K156" s="6"/>
      <c r="L156" s="21">
        <v>2</v>
      </c>
      <c r="M156" s="6"/>
      <c r="N156" s="32">
        <v>15</v>
      </c>
    </row>
    <row r="157" spans="2:14" ht="11.25" customHeight="1">
      <c r="B157" s="7" t="s">
        <v>9</v>
      </c>
      <c r="C157" s="7"/>
      <c r="D157" s="6"/>
      <c r="E157" s="7">
        <f>1.3*E155+1.6*E156</f>
        <v>9.6324</v>
      </c>
      <c r="F157" s="6"/>
      <c r="G157" s="6"/>
      <c r="H157" s="8"/>
      <c r="I157" s="7" t="s">
        <v>9</v>
      </c>
      <c r="J157" s="7"/>
      <c r="K157" s="6"/>
      <c r="L157" s="7">
        <f>1.3*L155+1.6*L156</f>
        <v>9.6324</v>
      </c>
      <c r="M157" s="6"/>
      <c r="N157" s="6"/>
    </row>
    <row r="158" spans="2:14" ht="11.25" customHeight="1">
      <c r="B158" s="22" t="s">
        <v>22</v>
      </c>
      <c r="C158" s="23" t="s">
        <v>24</v>
      </c>
      <c r="D158" s="22" t="s">
        <v>25</v>
      </c>
      <c r="E158" s="23" t="s">
        <v>26</v>
      </c>
      <c r="F158" s="22" t="s">
        <v>27</v>
      </c>
      <c r="G158" s="22" t="s">
        <v>30</v>
      </c>
      <c r="H158" s="8"/>
      <c r="I158" s="22" t="s">
        <v>22</v>
      </c>
      <c r="J158" s="23" t="s">
        <v>24</v>
      </c>
      <c r="K158" s="22" t="s">
        <v>25</v>
      </c>
      <c r="L158" s="23" t="s">
        <v>26</v>
      </c>
      <c r="M158" s="22" t="s">
        <v>27</v>
      </c>
      <c r="N158" s="22" t="s">
        <v>30</v>
      </c>
    </row>
    <row r="159" spans="2:14" ht="11.25" customHeight="1">
      <c r="B159" s="7"/>
      <c r="C159" s="39">
        <f>+IF(F142=1,1.33333333333333,IF(F142&lt;&gt;0,"check data !!! ",0))</f>
        <v>1.33333333333333</v>
      </c>
      <c r="D159" s="39">
        <f>+IF(H142=1,1.33333333333333,IF(H142&lt;&gt;0,"check data !!!",0))</f>
        <v>0</v>
      </c>
      <c r="E159" s="39">
        <f>+IF(G140=1,1.33333333333333,IF(G140&lt;&gt;0,"check data !!!",0))</f>
        <v>0</v>
      </c>
      <c r="F159" s="39">
        <f>+IF(G144=1,1.33333333333333,IF(G144&lt;&gt;0,"check data !!!",0))</f>
        <v>1.33333333333333</v>
      </c>
      <c r="G159" s="39">
        <f>IF((4-G144-H142-G140-F142)&lt;0,"check data !!!",4-G144-H142-G140-F142)</f>
        <v>2</v>
      </c>
      <c r="H159" s="8"/>
      <c r="I159" s="15"/>
      <c r="J159" s="39">
        <f>+IF(M142=1,1.33333333333333,IF(M142&lt;&gt;0,"check data !!! ",0))</f>
        <v>1.33333333333333</v>
      </c>
      <c r="K159" s="39">
        <f>+IF(O142=1,1.33333333333333,IF(O142&lt;&gt;0,"check data !!!",0))</f>
        <v>0</v>
      </c>
      <c r="L159" s="39">
        <f>+IF(N140=1,1.33333333333333,IF(N140&lt;&gt;0,"check data !!!",0))</f>
        <v>0</v>
      </c>
      <c r="M159" s="39">
        <f>+IF(N144=1,1.33333333333333,IF(N144&lt;&gt;0,"check data !!!",0))</f>
        <v>1.33333333333333</v>
      </c>
      <c r="N159" s="39">
        <f>IF((4-N144-O142-N140-M142)&lt;0,"check data !!!",4-N144-O142-N140-M142)</f>
        <v>2</v>
      </c>
    </row>
    <row r="160" spans="2:14" ht="11.25" customHeight="1">
      <c r="B160" s="7" t="s">
        <v>10</v>
      </c>
      <c r="C160" s="33" t="s">
        <v>53</v>
      </c>
      <c r="D160" s="33" t="s">
        <v>50</v>
      </c>
      <c r="E160" s="33" t="s">
        <v>51</v>
      </c>
      <c r="F160" s="33" t="s">
        <v>52</v>
      </c>
      <c r="G160" s="27" t="s">
        <v>28</v>
      </c>
      <c r="H160" s="8"/>
      <c r="I160" s="7" t="s">
        <v>10</v>
      </c>
      <c r="J160" s="33" t="s">
        <v>53</v>
      </c>
      <c r="K160" s="33" t="s">
        <v>50</v>
      </c>
      <c r="L160" s="33" t="s">
        <v>51</v>
      </c>
      <c r="M160" s="33" t="s">
        <v>52</v>
      </c>
      <c r="N160" s="27" t="s">
        <v>28</v>
      </c>
    </row>
    <row r="161" spans="2:14" ht="11.25" customHeight="1">
      <c r="B161" s="7"/>
      <c r="C161" s="12">
        <f>IF(E159&lt;&gt;0,ROUND(4/3*E161,3),IF(F159=0,"0.00",ROUND(4/3*E161,3)))</f>
        <v>0.064</v>
      </c>
      <c r="D161" s="12">
        <f>IF(C159&lt;&gt;0,ROUND(4/3*F161,3),IF(D159=0,"0.00",ROUND(4/3*F161,3)))</f>
        <v>0.045</v>
      </c>
      <c r="E161" s="12">
        <f>+ROUND(G161/(SQRT(1+E159)+SQRT(1+F159))^2,3)</f>
        <v>0.048</v>
      </c>
      <c r="F161" s="12">
        <f>+ROUND((24+2*G159+1.5*(G159*G159))/1000,3)</f>
        <v>0.034</v>
      </c>
      <c r="G161" s="6">
        <f>0.666666666666667*(1-(C150/D150*SQRT(2*F161)*(SQRT(1+C159)+SQRT(1+D159))))</f>
        <v>0.3075427875900928</v>
      </c>
      <c r="H161" s="8"/>
      <c r="I161" s="7"/>
      <c r="J161" s="12">
        <f>IF(L159&lt;&gt;0,ROUND(4/3*L161,3),IF(M159=0,"0.00",ROUND(4/3*L161,3)))</f>
        <v>0.079</v>
      </c>
      <c r="K161" s="12">
        <f>IF(J159&lt;&gt;0,ROUND(4/3*M161,3),IF(K159=0,"0.00",ROUND(4/3*M161,3)))</f>
        <v>0.045</v>
      </c>
      <c r="L161" s="12">
        <f>+ROUND(N161/(SQRT(1+L159)+SQRT(1+M159))^2,3)</f>
        <v>0.059</v>
      </c>
      <c r="M161" s="12">
        <f>+ROUND((24+2*N159+1.5*(N159*N159))/1000,3)</f>
        <v>0.034</v>
      </c>
      <c r="N161" s="6">
        <f>0.666666666666667*(1-(J150/K150*SQRT(2*M161)*(SQRT(1+J159)+SQRT(1+K159))))</f>
        <v>0.3788605649878877</v>
      </c>
    </row>
    <row r="162" spans="2:14" ht="11.25" customHeight="1">
      <c r="B162" s="7" t="s">
        <v>11</v>
      </c>
      <c r="C162" s="7" t="s">
        <v>12</v>
      </c>
      <c r="D162" s="7" t="s">
        <v>13</v>
      </c>
      <c r="E162" s="7" t="s">
        <v>14</v>
      </c>
      <c r="F162" s="7" t="s">
        <v>15</v>
      </c>
      <c r="G162" s="6"/>
      <c r="H162" s="8"/>
      <c r="I162" s="7" t="s">
        <v>11</v>
      </c>
      <c r="J162" s="7" t="s">
        <v>12</v>
      </c>
      <c r="K162" s="7" t="s">
        <v>13</v>
      </c>
      <c r="L162" s="7" t="s">
        <v>14</v>
      </c>
      <c r="M162" s="7" t="s">
        <v>15</v>
      </c>
      <c r="N162" s="6"/>
    </row>
    <row r="163" spans="2:14" ht="11.25" customHeight="1">
      <c r="B163" s="6"/>
      <c r="C163" s="6">
        <f>C161*E157*C150*C150</f>
        <v>11.135054400000001</v>
      </c>
      <c r="D163" s="6">
        <f>D161*E157*C150*C150</f>
        <v>7.829335125</v>
      </c>
      <c r="E163" s="6">
        <f>E161*E157*C150*C150</f>
        <v>8.351290800000001</v>
      </c>
      <c r="F163" s="6">
        <f>F161*E157*C150*C150</f>
        <v>5.915497650000001</v>
      </c>
      <c r="G163" s="6"/>
      <c r="H163" s="8"/>
      <c r="I163" s="6"/>
      <c r="J163" s="6">
        <f>J161*L157*J150*J150</f>
        <v>1.3058827695600004</v>
      </c>
      <c r="K163" s="6">
        <f>K161*L157*J150*J150</f>
        <v>0.7438572738000001</v>
      </c>
      <c r="L163" s="6">
        <f>L161*L157*J150*J150</f>
        <v>0.9752795367600001</v>
      </c>
      <c r="M163" s="6">
        <f>M161*L157*J150*J150</f>
        <v>0.5620254957600002</v>
      </c>
      <c r="N163" s="6"/>
    </row>
    <row r="164" spans="2:14" ht="11.25" customHeight="1">
      <c r="B164" s="6" t="s">
        <v>16</v>
      </c>
      <c r="C164" s="10">
        <f>ROUND(C163/(1*((G150-G156-B170/2)/1000)^2)+5,-1)</f>
        <v>650</v>
      </c>
      <c r="D164" s="10">
        <f>ROUND(D163/(1*((G150-G156-B170/2)/1000)^2)+5,-1)</f>
        <v>460</v>
      </c>
      <c r="E164" s="10">
        <f>ROUND(E163/(1*((G150-G156-B170/2)/1000)^2)+5,-1)</f>
        <v>490</v>
      </c>
      <c r="F164" s="10">
        <f>ROUND(F163/(1*((G150-G156-B170/2)/1000)^2)+5,-1)</f>
        <v>350</v>
      </c>
      <c r="G164" s="10"/>
      <c r="H164" s="8"/>
      <c r="I164" s="6" t="s">
        <v>16</v>
      </c>
      <c r="J164" s="10">
        <f>ROUND(J163/(1*((N150-N156-I170/2)/1000)^2)+5,-1)</f>
        <v>80</v>
      </c>
      <c r="K164" s="10">
        <f>ROUND(K163/(1*((N150-N156-I170/2)/1000)^2)+5,-1)</f>
        <v>50</v>
      </c>
      <c r="L164" s="10">
        <f>ROUND(L163/(1*((N150-N156-I170/2)/1000)^2)+5,-1)</f>
        <v>60</v>
      </c>
      <c r="M164" s="10">
        <f>ROUND(M163/(1*((N150-N156-I170/2)/1000)^2)+5,-1)</f>
        <v>40</v>
      </c>
      <c r="N164" s="10"/>
    </row>
    <row r="165" spans="1:16" s="42" customFormat="1" ht="11.25" customHeight="1">
      <c r="A165"/>
      <c r="B165" s="13" t="s">
        <v>17</v>
      </c>
      <c r="C165" s="37">
        <f>100*E140/E141*(1-SQRT(1-2*C163*1000000/(E140*1000*(G150-G156-B170/2)^2)))</f>
        <v>0.25628846450898746</v>
      </c>
      <c r="D165" s="37">
        <f>100*E140/E141*(1-SQRT(1-2*D163*1000000/(E140*1000*(G150-G156-B170/2)^2)))</f>
        <v>0.17855689210507347</v>
      </c>
      <c r="E165" s="37">
        <f>100*E140/E141*(1-SQRT(1-2*E163*1000000/(E140*1000*(G150-G156-B170/2)^2)))</f>
        <v>0.19073358908539834</v>
      </c>
      <c r="F165" s="37">
        <f>100*E140/E141*(1-SQRT(1-2*F163*1000000/(E140*1000*(G150-G156-B170/2)^2)))</f>
        <v>0.13421029366762288</v>
      </c>
      <c r="G165" s="6"/>
      <c r="H165" s="8"/>
      <c r="I165" s="13" t="s">
        <v>17</v>
      </c>
      <c r="J165" s="37">
        <f>100*L140/L141*(1-SQRT(1-2*J163*1000000/(L140*1000*(N150-N156-I170/2)^2)))</f>
        <v>0.02926871028408217</v>
      </c>
      <c r="K165" s="37">
        <f>100*L140/L141*(1-SQRT(1-2*K163*1000000/(L140*1000*(N150-N156-I170/2)^2)))</f>
        <v>0.016647786921797216</v>
      </c>
      <c r="L165" s="37">
        <f>100*L140/L141*(1-SQRT(1-2*L163*1000000/(L140*1000*(N150-N156-I170/2)^2)))</f>
        <v>0.021840174920267588</v>
      </c>
      <c r="M165" s="37">
        <f>100*L140/L141*(1-SQRT(1-2*M163*1000000/(L140*1000*(N150-N156-I170/2)^2)))</f>
        <v>0.01257241970890063</v>
      </c>
      <c r="N165" s="6"/>
      <c r="O165"/>
      <c r="P165"/>
    </row>
    <row r="166" spans="2:14" ht="12.75">
      <c r="B166" s="6" t="s">
        <v>35</v>
      </c>
      <c r="C166" s="10">
        <f>ROUND(0.5/300*1000*($G150-$G156-$B170/2),0)</f>
        <v>218</v>
      </c>
      <c r="D166" s="10">
        <f>ROUND(0.5/300*1000*($G150-$G156-$B170/2),0)</f>
        <v>218</v>
      </c>
      <c r="E166" s="10">
        <f>ROUND(0.5/300*1000*($G150-$G156-$B170/2),0)</f>
        <v>218</v>
      </c>
      <c r="F166" s="10">
        <f>ROUND(0.5/300*1000*($G150-$G156-$B170/2),0)</f>
        <v>218</v>
      </c>
      <c r="G166" s="6"/>
      <c r="H166" s="8"/>
      <c r="I166" s="6" t="s">
        <v>18</v>
      </c>
      <c r="J166" s="10">
        <f>ROUND(0.5/300*1000*($N150-$N156-$I170/2),0)</f>
        <v>218</v>
      </c>
      <c r="K166" s="10">
        <f>ROUND(0.5/300*1000*($N150-$N156-$I170/2),0)</f>
        <v>218</v>
      </c>
      <c r="L166" s="10">
        <f>ROUND(0.5/300*1000*($N150-$N156-$I170/2),0)</f>
        <v>218</v>
      </c>
      <c r="M166" s="10">
        <f>ROUND(0.5/300*1000*($N150-$N156-$I170/2),0)</f>
        <v>218</v>
      </c>
      <c r="N166" s="6"/>
    </row>
    <row r="167" spans="2:14" ht="12.75">
      <c r="B167" s="6" t="s">
        <v>36</v>
      </c>
      <c r="C167" s="40">
        <f>C165*1000*($G150-$G156-$B170/2)/100</f>
        <v>335.7378885067735</v>
      </c>
      <c r="D167" s="40">
        <f>D165*1000*($G150-$G156-$B170/2)/100</f>
        <v>233.90952865764626</v>
      </c>
      <c r="E167" s="40">
        <f>E165*1000*($G150-$G156-$B170/2)/100</f>
        <v>249.86100170187183</v>
      </c>
      <c r="F167" s="40">
        <f>F165*1000*($G150-$G156-$B170/2)/100</f>
        <v>175.81548470458597</v>
      </c>
      <c r="G167" s="6"/>
      <c r="H167" s="8"/>
      <c r="I167" s="6" t="s">
        <v>19</v>
      </c>
      <c r="J167" s="40">
        <f>J165*1000*($N150-$N156-$I170/2)/100</f>
        <v>38.34201047214764</v>
      </c>
      <c r="K167" s="40">
        <f>K165*1000*($N150-$N156-$I170/2)/100</f>
        <v>21.808600867554354</v>
      </c>
      <c r="L167" s="40">
        <f>L165*1000*($N150-$N156-$I170/2)/100</f>
        <v>28.610629145550543</v>
      </c>
      <c r="M167" s="40">
        <f>M165*1000*($N150-$N156-$I170/2)/100</f>
        <v>16.469869818659827</v>
      </c>
      <c r="N167" s="6"/>
    </row>
    <row r="168" spans="2:14" ht="12.75">
      <c r="B168" s="6" t="s">
        <v>37</v>
      </c>
      <c r="C168" s="40">
        <f>+MAX(C166:C167)</f>
        <v>335.7378885067735</v>
      </c>
      <c r="D168" s="40">
        <f>+MAX(D166:D167)</f>
        <v>233.90952865764626</v>
      </c>
      <c r="E168" s="40">
        <f>+MAX(E166:E167)</f>
        <v>249.86100170187183</v>
      </c>
      <c r="F168" s="40">
        <f>+MAX(F166:F167)</f>
        <v>218</v>
      </c>
      <c r="G168" s="6"/>
      <c r="H168" s="8"/>
      <c r="I168" s="6" t="s">
        <v>20</v>
      </c>
      <c r="J168" s="40">
        <f>+MAX(J166:J167)</f>
        <v>218</v>
      </c>
      <c r="K168" s="40">
        <f>+MAX(K166:K167)</f>
        <v>218</v>
      </c>
      <c r="L168" s="40">
        <f>+MAX(L166:L167)</f>
        <v>218</v>
      </c>
      <c r="M168" s="40">
        <f>+MAX(M166:M167)</f>
        <v>218</v>
      </c>
      <c r="N168" s="6"/>
    </row>
    <row r="169" spans="2:14" ht="12.75">
      <c r="B169" s="26" t="s">
        <v>38</v>
      </c>
      <c r="C169" s="10" t="s">
        <v>21</v>
      </c>
      <c r="D169" s="10" t="s">
        <v>21</v>
      </c>
      <c r="E169" s="10" t="s">
        <v>21</v>
      </c>
      <c r="F169" s="10" t="s">
        <v>21</v>
      </c>
      <c r="G169" s="6"/>
      <c r="H169" s="8"/>
      <c r="I169" s="26" t="s">
        <v>29</v>
      </c>
      <c r="J169" s="10" t="s">
        <v>21</v>
      </c>
      <c r="K169" s="10" t="s">
        <v>21</v>
      </c>
      <c r="L169" s="10" t="s">
        <v>21</v>
      </c>
      <c r="M169" s="10" t="s">
        <v>21</v>
      </c>
      <c r="N169" s="6"/>
    </row>
    <row r="170" spans="2:14" ht="12.75">
      <c r="B170" s="16">
        <v>8</v>
      </c>
      <c r="C170" s="10">
        <f>ROUND(1000/C173+0.5,0)+1</f>
        <v>9</v>
      </c>
      <c r="D170" s="10">
        <f>ROUND(1000/D173+0.5,0)+1</f>
        <v>6</v>
      </c>
      <c r="E170" s="10">
        <f>ROUND(1000/E173+0.5,0)+1</f>
        <v>7</v>
      </c>
      <c r="F170" s="10">
        <f>ROUND(1000/F173+0.5,0)+1</f>
        <v>6</v>
      </c>
      <c r="G170" s="6"/>
      <c r="H170" s="8"/>
      <c r="I170" s="16">
        <v>8</v>
      </c>
      <c r="J170" s="10">
        <f>ROUND(1000/J173+0.5,0)+1</f>
        <v>6</v>
      </c>
      <c r="K170" s="10">
        <f>ROUND(1000/K173+0.5,0)+1</f>
        <v>6</v>
      </c>
      <c r="L170" s="10">
        <f>ROUND(1000/L173+0.5,0)+1</f>
        <v>6</v>
      </c>
      <c r="M170" s="10">
        <f>ROUND(1000/M173+0.5,0)+1</f>
        <v>6</v>
      </c>
      <c r="N170" s="6"/>
    </row>
    <row r="171" spans="2:14" ht="12.75">
      <c r="B171" s="25" t="s">
        <v>31</v>
      </c>
      <c r="C171" s="10">
        <f>2*G150</f>
        <v>300</v>
      </c>
      <c r="D171" s="10">
        <f>2*G150</f>
        <v>300</v>
      </c>
      <c r="E171" s="10">
        <f>2*G150</f>
        <v>300</v>
      </c>
      <c r="F171" s="10">
        <f>2*G150</f>
        <v>300</v>
      </c>
      <c r="G171" s="6"/>
      <c r="H171" s="8"/>
      <c r="I171" s="25" t="s">
        <v>31</v>
      </c>
      <c r="J171" s="10">
        <f>2*N150</f>
        <v>300</v>
      </c>
      <c r="K171" s="10">
        <f>2*N150</f>
        <v>300</v>
      </c>
      <c r="L171" s="10">
        <f>2*N150</f>
        <v>300</v>
      </c>
      <c r="M171" s="10">
        <f>2*N150</f>
        <v>300</v>
      </c>
      <c r="N171" s="6"/>
    </row>
    <row r="172" spans="2:14" ht="12.75">
      <c r="B172" s="25" t="s">
        <v>34</v>
      </c>
      <c r="C172" s="6">
        <f>ROUND((1000*PI()*(B170^2/4))/C168-5,-1)</f>
        <v>140</v>
      </c>
      <c r="D172" s="6">
        <f>ROUND((1000*PI()*(B170^2/4))/D168-5,-1)</f>
        <v>210</v>
      </c>
      <c r="E172" s="6">
        <f>ROUND((1000*PI()*(B170^2/4))/E168-5,-1)</f>
        <v>200</v>
      </c>
      <c r="F172" s="6">
        <f>ROUND((1000*PI()*(B170^2/4))/F168-5,-1)</f>
        <v>230</v>
      </c>
      <c r="G172" s="6"/>
      <c r="H172" s="8"/>
      <c r="I172" s="25" t="s">
        <v>32</v>
      </c>
      <c r="J172" s="6">
        <f>ROUND((1000*PI()*(I170^2/4))/J168-5,-1)</f>
        <v>230</v>
      </c>
      <c r="K172" s="6">
        <f>ROUND((1000*PI()*(I170^2/4))/K168-5,-1)</f>
        <v>230</v>
      </c>
      <c r="L172" s="6">
        <f>ROUND((1000*PI()*(I170^2/4))/L168-5,-1)</f>
        <v>230</v>
      </c>
      <c r="M172" s="6">
        <f>ROUND((1000*PI()*(I170^2/4))/M168-5,-1)</f>
        <v>230</v>
      </c>
      <c r="N172" s="6"/>
    </row>
    <row r="173" spans="2:14" ht="12.75">
      <c r="B173" s="25" t="s">
        <v>33</v>
      </c>
      <c r="C173" s="6">
        <f>MIN(C171:C172)</f>
        <v>140</v>
      </c>
      <c r="D173" s="6">
        <f>MIN(D171:D172)</f>
        <v>210</v>
      </c>
      <c r="E173" s="6">
        <f>MIN(E171:E172)</f>
        <v>200</v>
      </c>
      <c r="F173" s="6">
        <f>MIN(F171:F172)</f>
        <v>230</v>
      </c>
      <c r="G173" s="6"/>
      <c r="H173" s="8"/>
      <c r="I173" s="25" t="s">
        <v>33</v>
      </c>
      <c r="J173" s="6">
        <f>MIN(J171:J172)</f>
        <v>230</v>
      </c>
      <c r="K173" s="6">
        <f>MIN(K171:K172)</f>
        <v>230</v>
      </c>
      <c r="L173" s="6">
        <f>MIN(L171:L172)</f>
        <v>230</v>
      </c>
      <c r="M173" s="6">
        <f>MIN(M171:M172)</f>
        <v>230</v>
      </c>
      <c r="N173" s="6"/>
    </row>
    <row r="174" spans="2:14" ht="15.75">
      <c r="B174" s="25"/>
      <c r="C174" s="61" t="s">
        <v>45</v>
      </c>
      <c r="D174" s="61"/>
      <c r="E174" s="61"/>
      <c r="F174" s="43" t="s">
        <v>83</v>
      </c>
      <c r="G174" s="44">
        <f>+D145</f>
        <v>1.223529411764706</v>
      </c>
      <c r="H174" s="8"/>
      <c r="I174" s="25"/>
      <c r="J174" s="61" t="s">
        <v>45</v>
      </c>
      <c r="K174" s="61"/>
      <c r="L174" s="61"/>
      <c r="M174" s="43" t="s">
        <v>83</v>
      </c>
      <c r="N174" s="44">
        <f>+K145</f>
        <v>1.5267175572519083</v>
      </c>
    </row>
    <row r="175" spans="2:14" ht="13.5">
      <c r="B175" s="29" t="s">
        <v>44</v>
      </c>
      <c r="C175" s="34" t="s">
        <v>54</v>
      </c>
      <c r="D175" s="34" t="s">
        <v>55</v>
      </c>
      <c r="E175" s="34" t="s">
        <v>56</v>
      </c>
      <c r="F175" s="34" t="s">
        <v>57</v>
      </c>
      <c r="G175" s="10"/>
      <c r="H175" s="19"/>
      <c r="I175" s="29" t="s">
        <v>44</v>
      </c>
      <c r="J175" s="34" t="s">
        <v>54</v>
      </c>
      <c r="K175" s="34" t="s">
        <v>55</v>
      </c>
      <c r="L175" s="34" t="s">
        <v>56</v>
      </c>
      <c r="M175" s="34" t="s">
        <v>57</v>
      </c>
      <c r="N175" s="10"/>
    </row>
    <row r="176" spans="2:14" ht="12.75">
      <c r="B176" s="28"/>
      <c r="C176" s="37">
        <f>+IF(G139=2,0.666666666666667-5/(18*G174),IF(G139=3,0.8-0.48/G174,IF(G139=4,0.8-0.4/G174,IF(G139=5,0.666666666666667-0.8/(3*G174),IF(G139=6,0,IF(G139=7,0.8-0.32/G174,IF(G139=8,0,IF(G139=1,0.333333333333333*(2-1/G174),0))))))))</f>
        <v>0.4730769230769231</v>
      </c>
      <c r="D176" s="37">
        <f>+IF(G139=2,0,IF(G139=3,1.6/3-0.32/G174,IF(G139=4,1.6/3-0.8/(3*G174),IF(G139=5,0,IF(G139=6,0.666666666666667-0.4/G174,IF(G139=7,1.6/3-0.64/(3*G174),IF(G139=8,0.666666666666667-1.1/(3*G174),IF(G139=9,0.333333333333333*(2-1/G174),0))))))))</f>
        <v>0.3153846153846154</v>
      </c>
      <c r="E176" s="37">
        <f>+IF(G139=1,0.33,IF(G139=2,0.36,IF(G139=3,0.36,IF(G139=4,0.4,IF(G139=6,0.4,IF(G139=8,0.45,0))))))</f>
        <v>0.4</v>
      </c>
      <c r="F176" s="37">
        <f>+IF(G139=2,0.24,IF(G139=4,0.26,IF(G139=5,0.26,IF(G139=7,0.3,IF(G139=8,0.3,IF(G139=9,0.33,0))))))</f>
        <v>0.26</v>
      </c>
      <c r="G176" s="28"/>
      <c r="H176" s="8"/>
      <c r="I176" s="28"/>
      <c r="J176" s="37">
        <f>+IF(N139=2,0.666666666666667-5/(18*N174),IF(N139=3,0.8-0.48/N174,IF(N139=4,0.8-0.4/N174,IF(N139=5,0.666666666666667-0.8/(3*N174),IF(N139=6,0,IF(N139=7,0.8-0.32/N174,IF(N139=8,0,IF(N139=1,0.333333333333333*(2-1/N174),0))))))))</f>
        <v>0.538</v>
      </c>
      <c r="K176" s="37">
        <f>+IF(N139=2,0,IF(N139=3,1.6/3-0.32/N174,IF(N139=4,1.6/3-0.8/(3*N174),IF(N139=5,0,IF(N139=6,0.666666666666667-0.4/N174,IF(N139=7,1.6/3-0.64/(3*N174),IF(N139=8,0.666666666666667-1.1/(3*N174),IF(N139=9,0.333333333333333*(2-1/N174),0))))))))</f>
        <v>0.35866666666666663</v>
      </c>
      <c r="L176" s="37">
        <f>+IF(N139=1,0.33,IF(N139=2,0.36,IF(N139=3,0.36,IF(N139=4,0.4,IF(N139=6,0.4,IF(N139=8,0.45,0))))))</f>
        <v>0.4</v>
      </c>
      <c r="M176" s="37">
        <f>+IF(N139=2,0.24,IF(N139=4,0.26,IF(N139=5,0.26,IF(N139=7,0.3,IF(N139=8,0.3,IF(N139=9,0.33,0))))))</f>
        <v>0.26</v>
      </c>
      <c r="N176" s="28"/>
    </row>
    <row r="177" spans="2:14" ht="13.5">
      <c r="B177" s="30" t="s">
        <v>43</v>
      </c>
      <c r="C177" s="31" t="s">
        <v>46</v>
      </c>
      <c r="D177" s="31" t="s">
        <v>47</v>
      </c>
      <c r="E177" s="31" t="s">
        <v>48</v>
      </c>
      <c r="F177" s="31" t="s">
        <v>49</v>
      </c>
      <c r="G177" s="10"/>
      <c r="H177" s="8"/>
      <c r="I177" s="30" t="s">
        <v>43</v>
      </c>
      <c r="J177" s="31" t="s">
        <v>39</v>
      </c>
      <c r="K177" s="31" t="s">
        <v>40</v>
      </c>
      <c r="L177" s="31" t="s">
        <v>41</v>
      </c>
      <c r="M177" s="31" t="s">
        <v>42</v>
      </c>
      <c r="N177" s="10"/>
    </row>
    <row r="178" spans="2:14" ht="12.75">
      <c r="B178" s="30" t="s">
        <v>82</v>
      </c>
      <c r="C178" s="37">
        <f>0.914*IF(C176=0,"N.A.",C176*C150*E157)</f>
        <v>17.701146574615386</v>
      </c>
      <c r="D178" s="37">
        <f>0.914*IF(D176=0,"N.A.",D176*C150*E157)</f>
        <v>11.800764383076922</v>
      </c>
      <c r="E178" s="37">
        <f>0.914*IF(E176=0,"N.A.",E176*C150*E157)</f>
        <v>14.966823120000004</v>
      </c>
      <c r="F178" s="37">
        <f>0.914*IF(F176=0,"N.A.",F176*C150*E157)</f>
        <v>9.728435028000002</v>
      </c>
      <c r="G178" s="10"/>
      <c r="H178" s="8"/>
      <c r="I178" s="30" t="s">
        <v>82</v>
      </c>
      <c r="J178" s="37">
        <f>0.914*IF(J176=0,"N.A.",J176*J150*L157)</f>
        <v>6.204892705008001</v>
      </c>
      <c r="K178" s="37">
        <f>0.914*IF(K176=0,"N.A.",K176*J150*L157)</f>
        <v>4.136595136672</v>
      </c>
      <c r="L178" s="37">
        <f>0.914*IF(L176=0,"N.A.",L176*J150*L157)</f>
        <v>4.613303126400001</v>
      </c>
      <c r="M178" s="37">
        <f>0.914*IF(M176=0,"N.A.",M176*J150*L157)</f>
        <v>2.9986470321600005</v>
      </c>
      <c r="N178" s="10"/>
    </row>
    <row r="179" spans="2:14" ht="12.75">
      <c r="B179" s="30" t="s">
        <v>8</v>
      </c>
      <c r="C179" s="37">
        <f>IF(C176=0,"N.A.",C176*C150*E156)</f>
        <v>4.0211538461538465</v>
      </c>
      <c r="D179" s="37">
        <f>IF(D176=0,"N.A.",D176*C150*E156)</f>
        <v>2.6807692307692306</v>
      </c>
      <c r="E179" s="37">
        <f>IF(E176=0,"N.A.",E176*E156*C150)</f>
        <v>3.4000000000000004</v>
      </c>
      <c r="F179" s="37">
        <f>IF(F176=0,"N.A.",F176*E156*C150)</f>
        <v>2.21</v>
      </c>
      <c r="G179" s="10"/>
      <c r="H179" s="8"/>
      <c r="I179" s="30" t="s">
        <v>8</v>
      </c>
      <c r="J179" s="37">
        <f>IF(J176=0,"N.A.",J176*J150*L156)</f>
        <v>1.4095600000000001</v>
      </c>
      <c r="K179" s="37">
        <f>IF(K176=0,"N.A.",K176*J150*L156)</f>
        <v>0.9397066666666666</v>
      </c>
      <c r="L179" s="37">
        <f>IF(L176=0,"N.A.",L176*L156*J150)</f>
        <v>1.048</v>
      </c>
      <c r="M179" s="37">
        <f>IF(M176=0,"N.A.",M176*L156*J150)</f>
        <v>0.6812</v>
      </c>
      <c r="N179" s="10"/>
    </row>
    <row r="180" spans="2:14" ht="12.75">
      <c r="B180" s="30" t="s">
        <v>78</v>
      </c>
      <c r="C180" s="37">
        <f>IF(C176=0,"N.A.",C176*C150*E155)</f>
        <v>9.948334615384615</v>
      </c>
      <c r="D180" s="37">
        <f>IF(D176=0,"N.A.",D176*E155*C150)</f>
        <v>6.632223076923076</v>
      </c>
      <c r="E180" s="37">
        <f>IF(E176=0,"N.A.",E176*E155*C150)</f>
        <v>8.4116</v>
      </c>
      <c r="F180" s="37">
        <f>IF(F176=0,"N.A.",F176*E155*C150)</f>
        <v>5.46754</v>
      </c>
      <c r="G180" s="28"/>
      <c r="H180" s="8"/>
      <c r="I180" s="30" t="s">
        <v>78</v>
      </c>
      <c r="J180" s="37">
        <f>IF(J176=0,"N.A.",J176*J150*L155)</f>
        <v>3.48725144</v>
      </c>
      <c r="K180" s="37">
        <f>IF(K176=0,"N.A.",K176*L155*J150)</f>
        <v>2.3248342933333332</v>
      </c>
      <c r="L180" s="37">
        <f>IF(L176=0,"N.A.",L176*L155*J150)</f>
        <v>2.592752</v>
      </c>
      <c r="M180" s="37">
        <f>IF(M176=0,"N.A.",M176*L155*J150)</f>
        <v>1.6852888</v>
      </c>
      <c r="N180" s="28"/>
    </row>
    <row r="181" spans="2:14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6" s="42" customFormat="1" ht="12.75">
      <c r="A182"/>
      <c r="B182" s="35" t="s">
        <v>60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/>
      <c r="P182"/>
    </row>
    <row r="183" spans="2:14" ht="13.5">
      <c r="B183" s="35" t="s">
        <v>61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</sheetData>
  <mergeCells count="16">
    <mergeCell ref="E139:F139"/>
    <mergeCell ref="C174:E174"/>
    <mergeCell ref="L139:M139"/>
    <mergeCell ref="J174:L174"/>
    <mergeCell ref="E93:F93"/>
    <mergeCell ref="L93:M93"/>
    <mergeCell ref="C128:E128"/>
    <mergeCell ref="J128:L128"/>
    <mergeCell ref="L2:M2"/>
    <mergeCell ref="L48:M48"/>
    <mergeCell ref="E48:F48"/>
    <mergeCell ref="E2:F2"/>
    <mergeCell ref="J83:L83"/>
    <mergeCell ref="C37:E37"/>
    <mergeCell ref="J37:L37"/>
    <mergeCell ref="C83:E83"/>
  </mergeCells>
  <printOptions/>
  <pageMargins left="0.3" right="0.2362204724409449" top="0.1968503937007874" bottom="0.15748031496062992" header="0.1968503937007874" footer="0.11811023622047245"/>
  <pageSetup horizontalDpi="300" verticalDpi="300" orientation="portrait" paperSize="9" scale="68" r:id="rId2"/>
  <rowBreaks count="3" manualBreakCount="3">
    <brk id="47" max="14" man="1"/>
    <brk id="92" max="14" man="1"/>
    <brk id="165" max="14" man="1"/>
  </rowBreaks>
  <colBreaks count="1" manualBreakCount="1">
    <brk id="13" max="3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47"/>
  <sheetViews>
    <sheetView workbookViewId="0" topLeftCell="A25">
      <selection activeCell="I33" sqref="I33"/>
    </sheetView>
  </sheetViews>
  <sheetFormatPr defaultColWidth="9.33203125" defaultRowHeight="12.75"/>
  <sheetData>
    <row r="6" spans="2:3" ht="12.75">
      <c r="B6" s="63">
        <v>1</v>
      </c>
      <c r="C6" s="63"/>
    </row>
    <row r="11" spans="2:3" ht="12.75">
      <c r="B11" s="63">
        <v>2</v>
      </c>
      <c r="C11" s="63"/>
    </row>
    <row r="17" spans="2:3" ht="12.75">
      <c r="B17" s="63">
        <v>3</v>
      </c>
      <c r="C17" s="63"/>
    </row>
    <row r="22" spans="2:3" ht="12.75">
      <c r="B22" s="63">
        <v>4</v>
      </c>
      <c r="C22" s="63"/>
    </row>
    <row r="27" spans="2:3" ht="12.75">
      <c r="B27" s="63">
        <v>5</v>
      </c>
      <c r="C27" s="63"/>
    </row>
    <row r="32" spans="2:3" ht="12.75">
      <c r="B32" s="63">
        <v>6</v>
      </c>
      <c r="C32" s="63"/>
    </row>
    <row r="37" spans="2:3" ht="12.75">
      <c r="B37" s="63">
        <v>7</v>
      </c>
      <c r="C37" s="63"/>
    </row>
    <row r="42" spans="2:3" ht="12.75">
      <c r="B42" s="63">
        <v>8</v>
      </c>
      <c r="C42" s="63"/>
    </row>
    <row r="47" spans="2:3" ht="12.75">
      <c r="B47" s="63">
        <v>9</v>
      </c>
      <c r="C47" s="63"/>
    </row>
  </sheetData>
  <mergeCells count="9">
    <mergeCell ref="B47:C47"/>
    <mergeCell ref="B27:C27"/>
    <mergeCell ref="B32:C32"/>
    <mergeCell ref="B37:C37"/>
    <mergeCell ref="B42:C42"/>
    <mergeCell ref="B6:C6"/>
    <mergeCell ref="B11:C11"/>
    <mergeCell ref="B17:C17"/>
    <mergeCell ref="B22:C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 Slab Analysis &amp; Design</dc:title>
  <dc:subject/>
  <dc:creator>Merid Belay</dc:creator>
  <cp:keywords/>
  <dc:description/>
  <cp:lastModifiedBy>Tesfaaye</cp:lastModifiedBy>
  <cp:lastPrinted>2005-11-11T09:28:55Z</cp:lastPrinted>
  <dcterms:created xsi:type="dcterms:W3CDTF">1999-03-11T06:09:52Z</dcterms:created>
  <dcterms:modified xsi:type="dcterms:W3CDTF">2007-03-31T10:08:44Z</dcterms:modified>
  <cp:category/>
  <cp:version/>
  <cp:contentType/>
  <cp:contentStatus/>
</cp:coreProperties>
</file>