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<sst xmlns="http://schemas.openxmlformats.org/spreadsheetml/2006/main" count="177" uniqueCount="121">
  <si>
    <t>Loads from roof to Purlin</t>
  </si>
  <si>
    <t>Unit Wts.(γ)</t>
  </si>
  <si>
    <t>Material</t>
  </si>
  <si>
    <t>Purlin</t>
  </si>
  <si>
    <t>Roof</t>
  </si>
  <si>
    <t>DL</t>
  </si>
  <si>
    <t>LL</t>
  </si>
  <si>
    <t>WL</t>
  </si>
  <si>
    <t>Unfactored</t>
  </si>
  <si>
    <t>Factored</t>
  </si>
  <si>
    <t>Factors</t>
  </si>
  <si>
    <t>Load Comb.</t>
  </si>
  <si>
    <t>Load Type</t>
  </si>
  <si>
    <t>Safety Fac.</t>
  </si>
  <si>
    <t>Comb. Fac.</t>
  </si>
  <si>
    <t>Thick(m)</t>
  </si>
  <si>
    <t>Width(m)</t>
  </si>
  <si>
    <t>Dimensions</t>
  </si>
  <si>
    <t>Length(m)</t>
  </si>
  <si>
    <t>To be Det.</t>
  </si>
  <si>
    <t>(in-KN/m3)</t>
  </si>
  <si>
    <t>Diameter(m)</t>
  </si>
  <si>
    <t>Eucalyptus(ф10)</t>
  </si>
  <si>
    <t>Effective width of roof</t>
  </si>
  <si>
    <r>
      <t>Area(m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</si>
  <si>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t>Spacing of Purlin(m)</t>
  </si>
  <si>
    <t>DL(KN/m)</t>
  </si>
  <si>
    <t>LL(KN)</t>
  </si>
  <si>
    <t>WL(KN/m)</t>
  </si>
  <si>
    <t>Load on truss from Purlin</t>
  </si>
  <si>
    <t>Spacing of Trusses(m)</t>
  </si>
  <si>
    <t>Own wt. of Purlin(KN/m)</t>
  </si>
  <si>
    <t>Load on Purlin (KN)</t>
  </si>
  <si>
    <t xml:space="preserve">Rxn. From Distributed Loads(KN) </t>
  </si>
  <si>
    <t xml:space="preserve">Rxn. FromConctrated Loads(KN)  </t>
  </si>
  <si>
    <t>Load on Purlin (KN/m)-Int.</t>
  </si>
  <si>
    <t>Load on Purlin (KN/m)-Ext.</t>
  </si>
  <si>
    <t>Load on purlin (KN/m)-Int.</t>
  </si>
  <si>
    <t>Load on purlin (KN/m)-Ext.</t>
  </si>
  <si>
    <t>Total Load on Purlin(KN/m)-Int.</t>
  </si>
  <si>
    <t>Total Load on Purlin(KN/m)-Ext.</t>
  </si>
  <si>
    <t xml:space="preserve">From Internal Purlin    </t>
  </si>
  <si>
    <t xml:space="preserve">From External Purlin    </t>
  </si>
  <si>
    <t xml:space="preserve">               Load on Truss(KN) -Int.</t>
  </si>
  <si>
    <t xml:space="preserve">                Load on Truss(KN) -Ext.</t>
  </si>
  <si>
    <t>Int.Load</t>
  </si>
  <si>
    <t>Ext. Load</t>
  </si>
  <si>
    <t xml:space="preserve">                 (ф12)</t>
  </si>
  <si>
    <t>Own wt. of Truss1(KN)-at a Joint</t>
  </si>
  <si>
    <t>Total Load on Truss 1(KN)-Int.</t>
  </si>
  <si>
    <t xml:space="preserve">truss </t>
  </si>
  <si>
    <t>ф10)  8.08</t>
  </si>
  <si>
    <t>(ф12)  10.36</t>
  </si>
  <si>
    <t>ф10)   11.34</t>
  </si>
  <si>
    <t>(ф12)  12.93</t>
  </si>
  <si>
    <t>Own wt. of Truss2&amp;3(KN)-at a Joint</t>
  </si>
  <si>
    <t>Total Load on Truss 2&amp;3(KN)-Int.</t>
  </si>
  <si>
    <t>Reaction</t>
  </si>
  <si>
    <t xml:space="preserve">axis </t>
  </si>
  <si>
    <t>A</t>
  </si>
  <si>
    <t>B</t>
  </si>
  <si>
    <t>C</t>
  </si>
  <si>
    <t>Thickness(m)</t>
  </si>
  <si>
    <t>-</t>
  </si>
  <si>
    <t>TRUSS LOAD TRANSFER</t>
  </si>
  <si>
    <t>Wt.</t>
  </si>
  <si>
    <t>(in-KN/m)</t>
  </si>
  <si>
    <t>Area(m2)</t>
  </si>
  <si>
    <t>Load Combination</t>
  </si>
  <si>
    <t>Total Fac.</t>
  </si>
  <si>
    <t>Roof(G-28)</t>
  </si>
  <si>
    <t>Own wt. of Purlin</t>
  </si>
  <si>
    <t xml:space="preserve">Load on purlin </t>
  </si>
  <si>
    <t>Total Load</t>
  </si>
  <si>
    <t>Load from Purlin to Truss</t>
  </si>
  <si>
    <t>Loads from Roof to Purlin</t>
  </si>
  <si>
    <t>Load from Truss to Tie Beam</t>
  </si>
  <si>
    <t>Rxn. From DL&amp;WL</t>
  </si>
  <si>
    <t>Rxn. From LL</t>
  </si>
  <si>
    <t>(in-KN)</t>
  </si>
  <si>
    <t>Load on Purlin (in -KN/m)</t>
  </si>
  <si>
    <t>Truss Type</t>
  </si>
  <si>
    <t>TRUSS -1</t>
  </si>
  <si>
    <t>No. of Verticals</t>
  </si>
  <si>
    <t>Spacing of Verticals(in -m)</t>
  </si>
  <si>
    <t>Truss Total Length Computation</t>
  </si>
  <si>
    <t>Hori. Length</t>
  </si>
  <si>
    <t>Height</t>
  </si>
  <si>
    <t>Major Vertical</t>
  </si>
  <si>
    <t>Slope of Roof(in- %)</t>
  </si>
  <si>
    <t>Labels of Verticals</t>
  </si>
  <si>
    <t>Diagonals</t>
  </si>
  <si>
    <t>Major Diagonal</t>
  </si>
  <si>
    <t xml:space="preserve">Major Horizontal </t>
  </si>
  <si>
    <t>(Length in - m)</t>
  </si>
  <si>
    <t>Total</t>
  </si>
  <si>
    <t>Total Length in -m</t>
  </si>
  <si>
    <t>Total Load Computation</t>
  </si>
  <si>
    <t xml:space="preserve">             (ф12)</t>
  </si>
  <si>
    <t>For        (ф10)</t>
  </si>
  <si>
    <t xml:space="preserve">             (ф10)</t>
  </si>
  <si>
    <t>Load(KN)</t>
  </si>
  <si>
    <t>Total Load(KN)</t>
  </si>
  <si>
    <t>Length of Truss(m)</t>
  </si>
  <si>
    <t>Wt. (in -KN/m)</t>
  </si>
  <si>
    <t>in-KN</t>
  </si>
  <si>
    <t>Tota Load of a Truss</t>
  </si>
  <si>
    <t xml:space="preserve"> External Truss</t>
  </si>
  <si>
    <t xml:space="preserve"> Internal Truss</t>
  </si>
  <si>
    <t>If the truss under computation is External truss</t>
  </si>
  <si>
    <t xml:space="preserve">          Note:</t>
  </si>
  <si>
    <t>External Truss</t>
  </si>
  <si>
    <t>No. of Joints</t>
  </si>
  <si>
    <t>Load-in KN/m  for</t>
  </si>
  <si>
    <t>No. of Internal Joints</t>
  </si>
  <si>
    <t xml:space="preserve"> Internal Joints</t>
  </si>
  <si>
    <t>External Joints</t>
  </si>
  <si>
    <t>Total No of Joints</t>
  </si>
  <si>
    <t>Total Load of Truss</t>
  </si>
  <si>
    <t>Load on  Joints of a truss</t>
  </si>
  <si>
    <t>Internal Truss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</si>
</sst>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0"/>
    </font>
    <font>
      <b/>
      <i/>
      <sz val="10"/>
      <color indexed="14"/>
      <name val="Arial"/>
      <family val="2"/>
    </font>
    <font>
      <b/>
      <sz val="12"/>
      <color indexed="10"/>
      <name val="Arial"/>
      <family val="0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6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2" fontId="6" fillId="0" borderId="0" xfId="0" applyNumberFormat="1" applyFont="1" applyAlignment="1">
      <alignment/>
    </xf>
    <xf numFmtId="2" fontId="0" fillId="0" borderId="2" xfId="0" applyNumberFormat="1" applyBorder="1" applyAlignment="1">
      <alignment/>
    </xf>
    <xf numFmtId="2" fontId="6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2" fontId="1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2" fontId="1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18" fillId="0" borderId="2" xfId="0" applyFont="1" applyBorder="1" applyAlignment="1">
      <alignment/>
    </xf>
    <xf numFmtId="2" fontId="18" fillId="0" borderId="2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4" fillId="0" borderId="2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6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/>
    </xf>
    <xf numFmtId="1" fontId="6" fillId="4" borderId="2" xfId="0" applyNumberFormat="1" applyFont="1" applyFill="1" applyBorder="1" applyAlignment="1">
      <alignment/>
    </xf>
    <xf numFmtId="0" fontId="17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/>
    </xf>
    <xf numFmtId="2" fontId="6" fillId="4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5">
      <selection activeCell="G38" sqref="G38"/>
    </sheetView>
  </sheetViews>
  <sheetFormatPr defaultColWidth="9.140625" defaultRowHeight="12.75"/>
  <cols>
    <col min="1" max="1" width="10.8515625" style="0" customWidth="1"/>
    <col min="2" max="2" width="10.00390625" style="0" bestFit="1" customWidth="1"/>
    <col min="3" max="3" width="10.57421875" style="0" customWidth="1"/>
    <col min="6" max="6" width="10.421875" style="0" customWidth="1"/>
    <col min="7" max="8" width="10.28125" style="0" customWidth="1"/>
    <col min="10" max="10" width="15.140625" style="0" customWidth="1"/>
    <col min="11" max="11" width="12.00390625" style="0" customWidth="1"/>
    <col min="13" max="13" width="10.28125" style="0" customWidth="1"/>
    <col min="15" max="15" width="10.8515625" style="0" customWidth="1"/>
    <col min="18" max="18" width="10.421875" style="0" customWidth="1"/>
  </cols>
  <sheetData>
    <row r="1" spans="1:16" ht="13.5" thickBot="1">
      <c r="A1" s="70" t="s">
        <v>0</v>
      </c>
      <c r="B1" s="70"/>
      <c r="C1" s="70"/>
      <c r="D1" s="70"/>
      <c r="E1" s="70"/>
      <c r="F1" s="70" t="s">
        <v>11</v>
      </c>
      <c r="G1" s="70"/>
      <c r="H1" s="70"/>
      <c r="K1" s="14" t="s">
        <v>1</v>
      </c>
      <c r="L1" s="70" t="s">
        <v>17</v>
      </c>
      <c r="M1" s="70"/>
      <c r="N1" s="70"/>
      <c r="O1" s="70"/>
      <c r="P1" s="70"/>
    </row>
    <row r="2" spans="1:18" ht="15" thickTop="1">
      <c r="A2" s="8" t="s">
        <v>12</v>
      </c>
      <c r="B2" s="9" t="s">
        <v>8</v>
      </c>
      <c r="C2" s="9" t="s">
        <v>10</v>
      </c>
      <c r="D2" s="9" t="s">
        <v>9</v>
      </c>
      <c r="F2" s="8" t="s">
        <v>12</v>
      </c>
      <c r="G2" s="8" t="s">
        <v>13</v>
      </c>
      <c r="H2" s="10" t="s">
        <v>14</v>
      </c>
      <c r="J2" s="3" t="s">
        <v>2</v>
      </c>
      <c r="K2" s="9" t="s">
        <v>20</v>
      </c>
      <c r="L2" s="9" t="s">
        <v>15</v>
      </c>
      <c r="M2" s="9" t="s">
        <v>16</v>
      </c>
      <c r="N2" s="9" t="s">
        <v>18</v>
      </c>
      <c r="O2" s="9" t="s">
        <v>21</v>
      </c>
      <c r="P2" s="9" t="s">
        <v>24</v>
      </c>
      <c r="Q2" s="9" t="s">
        <v>50</v>
      </c>
      <c r="R2" s="9" t="s">
        <v>18</v>
      </c>
    </row>
    <row r="3" spans="1:18" ht="12.75">
      <c r="A3" s="15" t="s">
        <v>26</v>
      </c>
      <c r="B3" s="5">
        <f>K5*L6</f>
        <v>0.0017000000000000001</v>
      </c>
      <c r="C3" s="5">
        <f>G3*H3</f>
        <v>1.1700000000000002</v>
      </c>
      <c r="D3" s="5">
        <f>B3*C3</f>
        <v>0.0019890000000000003</v>
      </c>
      <c r="F3" s="15" t="s">
        <v>5</v>
      </c>
      <c r="G3">
        <v>1.3</v>
      </c>
      <c r="H3" s="68">
        <v>0.9</v>
      </c>
      <c r="J3" s="9" t="s">
        <v>3</v>
      </c>
      <c r="K3">
        <v>8.5</v>
      </c>
      <c r="L3">
        <v>0.07</v>
      </c>
      <c r="M3">
        <v>0.05</v>
      </c>
      <c r="N3" t="s">
        <v>19</v>
      </c>
      <c r="Q3">
        <v>1</v>
      </c>
      <c r="R3" t="s">
        <v>51</v>
      </c>
    </row>
    <row r="4" spans="1:18" ht="12.75">
      <c r="A4" s="15" t="s">
        <v>27</v>
      </c>
      <c r="B4" s="5">
        <v>1</v>
      </c>
      <c r="C4" s="5">
        <f>G4*H3</f>
        <v>1.4400000000000002</v>
      </c>
      <c r="D4" s="5">
        <f>B4*C4</f>
        <v>1.4400000000000002</v>
      </c>
      <c r="F4" s="15" t="s">
        <v>6</v>
      </c>
      <c r="G4">
        <v>1.6</v>
      </c>
      <c r="H4" s="68"/>
      <c r="J4" s="9" t="s">
        <v>22</v>
      </c>
      <c r="K4">
        <v>8.5</v>
      </c>
      <c r="O4">
        <f>10/100</f>
        <v>0.1</v>
      </c>
      <c r="P4" s="7">
        <f>0.25*(22/7)*(O4^2)</f>
        <v>0.007857142857142858</v>
      </c>
      <c r="R4" t="s">
        <v>52</v>
      </c>
    </row>
    <row r="5" spans="1:18" ht="12.75">
      <c r="A5" s="15" t="s">
        <v>28</v>
      </c>
      <c r="B5" s="5">
        <v>0.255</v>
      </c>
      <c r="C5" s="5">
        <v>0.9</v>
      </c>
      <c r="D5" s="5">
        <f>B5*C5</f>
        <v>0.2295</v>
      </c>
      <c r="F5" s="15" t="s">
        <v>7</v>
      </c>
      <c r="G5">
        <v>1</v>
      </c>
      <c r="H5" s="68"/>
      <c r="J5" s="9" t="s">
        <v>47</v>
      </c>
      <c r="K5">
        <v>8.5</v>
      </c>
      <c r="O5">
        <f>12/100</f>
        <v>0.12</v>
      </c>
      <c r="P5" s="7">
        <f>0.25*(22/7)*(O5^2)</f>
        <v>0.011314285714285714</v>
      </c>
      <c r="Q5">
        <v>2</v>
      </c>
      <c r="R5" t="s">
        <v>53</v>
      </c>
    </row>
    <row r="6" spans="10:18" ht="12.75">
      <c r="J6" s="9" t="s">
        <v>4</v>
      </c>
      <c r="K6">
        <v>78.5</v>
      </c>
      <c r="L6">
        <f>0.2/1000</f>
        <v>0.0002</v>
      </c>
      <c r="M6">
        <v>1</v>
      </c>
      <c r="N6">
        <v>2</v>
      </c>
      <c r="R6" t="s">
        <v>54</v>
      </c>
    </row>
    <row r="7" spans="1:2" ht="12.75">
      <c r="A7" s="6"/>
      <c r="B7" s="6"/>
    </row>
    <row r="8" spans="11:13" ht="12.75">
      <c r="K8" s="68" t="s">
        <v>23</v>
      </c>
      <c r="L8" s="68"/>
      <c r="M8">
        <v>1</v>
      </c>
    </row>
    <row r="9" spans="6:17" ht="12.75">
      <c r="F9" s="65" t="s">
        <v>25</v>
      </c>
      <c r="G9" s="66"/>
      <c r="H9" s="67"/>
      <c r="I9">
        <v>0.9</v>
      </c>
      <c r="Q9">
        <f>8.08*K3*L3*M3+10.36*K3*L3*M3</f>
        <v>0.5485900000000001</v>
      </c>
    </row>
    <row r="10" spans="1:17" ht="12.75">
      <c r="A10" s="68" t="s">
        <v>33</v>
      </c>
      <c r="B10" s="68"/>
      <c r="C10" s="68"/>
      <c r="D10" s="4">
        <f>((D3+D5)*I9)/2</f>
        <v>0.10417005</v>
      </c>
      <c r="Q10">
        <f>Q9/5</f>
        <v>0.10971800000000002</v>
      </c>
    </row>
    <row r="11" spans="1:17" ht="12.75">
      <c r="A11" s="68" t="s">
        <v>34</v>
      </c>
      <c r="B11" s="68"/>
      <c r="C11" s="68"/>
      <c r="D11" s="4">
        <f>D4/2</f>
        <v>0.7200000000000001</v>
      </c>
      <c r="K11">
        <f>K6*L6</f>
        <v>0.015700000000000002</v>
      </c>
      <c r="Q11">
        <f>(11.34+12.93)*K3*L3*M3</f>
        <v>0.7220325000000001</v>
      </c>
    </row>
    <row r="12" ht="12.75">
      <c r="Q12">
        <f>Q11/7</f>
        <v>0.10314750000000002</v>
      </c>
    </row>
    <row r="13" spans="1:4" ht="12.75">
      <c r="A13" s="63" t="s">
        <v>32</v>
      </c>
      <c r="B13" s="63"/>
      <c r="C13" s="63"/>
      <c r="D13" s="11">
        <f>(D10+D11)</f>
        <v>0.8241700500000001</v>
      </c>
    </row>
    <row r="14" spans="1:4" ht="12.75">
      <c r="A14" s="63" t="s">
        <v>35</v>
      </c>
      <c r="B14" s="63"/>
      <c r="C14" s="63"/>
      <c r="D14" s="12">
        <f>(D13/M8)*2</f>
        <v>1.6483401000000002</v>
      </c>
    </row>
    <row r="15" spans="1:4" ht="12.75">
      <c r="A15" s="63" t="s">
        <v>36</v>
      </c>
      <c r="B15" s="63"/>
      <c r="C15" s="63"/>
      <c r="D15" s="12">
        <f>(D13/M8)</f>
        <v>0.8241700500000001</v>
      </c>
    </row>
    <row r="17" spans="1:5" ht="13.5" thickBot="1">
      <c r="A17" s="70" t="s">
        <v>29</v>
      </c>
      <c r="B17" s="70"/>
      <c r="C17" s="70"/>
      <c r="D17" s="70"/>
      <c r="E17" s="70"/>
    </row>
    <row r="18" ht="13.5" thickTop="1"/>
    <row r="19" spans="1:9" ht="12.75">
      <c r="A19" s="68" t="s">
        <v>37</v>
      </c>
      <c r="B19" s="68"/>
      <c r="C19" s="68"/>
      <c r="D19" s="4">
        <f>D14</f>
        <v>1.6483401000000002</v>
      </c>
      <c r="F19" s="65" t="s">
        <v>30</v>
      </c>
      <c r="G19" s="66"/>
      <c r="H19" s="67"/>
      <c r="I19">
        <v>1.3</v>
      </c>
    </row>
    <row r="20" spans="1:8" ht="12.75">
      <c r="A20" s="68" t="s">
        <v>38</v>
      </c>
      <c r="B20" s="68"/>
      <c r="C20" s="68"/>
      <c r="D20" s="4">
        <f>D15</f>
        <v>0.8241700500000001</v>
      </c>
      <c r="F20" s="13"/>
      <c r="G20" s="13"/>
      <c r="H20" s="13"/>
    </row>
    <row r="21" spans="1:4" ht="12.75">
      <c r="A21" s="68" t="s">
        <v>31</v>
      </c>
      <c r="B21" s="68"/>
      <c r="C21" s="68"/>
      <c r="D21">
        <f>K3*L3*M3</f>
        <v>0.029750000000000006</v>
      </c>
    </row>
    <row r="22" spans="1:3" ht="12.75">
      <c r="A22" s="1"/>
      <c r="B22" s="1"/>
      <c r="C22" s="1"/>
    </row>
    <row r="23" spans="1:4" ht="12.75">
      <c r="A23" s="69" t="s">
        <v>39</v>
      </c>
      <c r="B23" s="69"/>
      <c r="C23" s="69"/>
      <c r="D23" s="4">
        <f>D19+D21</f>
        <v>1.6780901000000001</v>
      </c>
    </row>
    <row r="24" spans="1:4" ht="12.75">
      <c r="A24" s="69" t="s">
        <v>40</v>
      </c>
      <c r="B24" s="69"/>
      <c r="C24" s="69"/>
      <c r="D24" s="4">
        <f>D20+D21</f>
        <v>0.8539200500000002</v>
      </c>
    </row>
    <row r="25" spans="1:4" ht="12.75">
      <c r="A25" s="2"/>
      <c r="B25" s="2"/>
      <c r="C25" s="2"/>
      <c r="D25" s="4"/>
    </row>
    <row r="26" spans="1:4" ht="12.75">
      <c r="A26" s="64" t="s">
        <v>41</v>
      </c>
      <c r="B26" s="64"/>
      <c r="C26" s="64"/>
      <c r="D26" s="4"/>
    </row>
    <row r="27" spans="1:4" ht="12.75">
      <c r="A27" s="63" t="s">
        <v>43</v>
      </c>
      <c r="B27" s="63"/>
      <c r="C27" s="63"/>
      <c r="D27" s="12">
        <f>((D23*I19)/2)*2</f>
        <v>2.1815171300000005</v>
      </c>
    </row>
    <row r="28" spans="1:4" ht="12.75">
      <c r="A28" s="63" t="s">
        <v>44</v>
      </c>
      <c r="B28" s="63"/>
      <c r="C28" s="63"/>
      <c r="D28" s="12">
        <f>((D23*I19)/2)</f>
        <v>1.0907585650000002</v>
      </c>
    </row>
    <row r="29" spans="1:4" ht="12.75">
      <c r="A29" s="64" t="s">
        <v>42</v>
      </c>
      <c r="B29" s="64"/>
      <c r="C29" s="64"/>
      <c r="D29" s="4"/>
    </row>
    <row r="30" spans="1:4" ht="12.75">
      <c r="A30" s="63" t="s">
        <v>43</v>
      </c>
      <c r="B30" s="63"/>
      <c r="C30" s="63"/>
      <c r="D30" s="12">
        <f>((D24*I19)/2)*2</f>
        <v>1.1100960650000002</v>
      </c>
    </row>
    <row r="31" spans="1:4" ht="12.75">
      <c r="A31" s="63" t="s">
        <v>44</v>
      </c>
      <c r="B31" s="63"/>
      <c r="C31" s="63"/>
      <c r="D31" s="12">
        <f>((D24*I19)/2)</f>
        <v>0.5550480325000001</v>
      </c>
    </row>
    <row r="34" spans="1:4" ht="12.75">
      <c r="A34" s="68" t="s">
        <v>48</v>
      </c>
      <c r="B34" s="68"/>
      <c r="C34" s="68"/>
      <c r="D34">
        <v>0.109</v>
      </c>
    </row>
    <row r="35" spans="1:4" ht="12.75">
      <c r="A35" s="68" t="s">
        <v>55</v>
      </c>
      <c r="B35" s="68"/>
      <c r="C35" s="68"/>
      <c r="D35">
        <v>0.103</v>
      </c>
    </row>
    <row r="36" spans="1:3" ht="12.75">
      <c r="A36" s="68"/>
      <c r="B36" s="68"/>
      <c r="C36" s="68"/>
    </row>
    <row r="37" spans="4:5" ht="12.75">
      <c r="D37" s="3" t="s">
        <v>45</v>
      </c>
      <c r="E37" s="3" t="s">
        <v>46</v>
      </c>
    </row>
    <row r="38" spans="1:5" ht="12.75">
      <c r="A38" s="69" t="s">
        <v>49</v>
      </c>
      <c r="B38" s="69"/>
      <c r="C38" s="69"/>
      <c r="D38" s="12">
        <f>D27+D34</f>
        <v>2.2905171300000005</v>
      </c>
      <c r="E38" s="12">
        <f>D30+D34</f>
        <v>1.2190960650000002</v>
      </c>
    </row>
    <row r="39" spans="1:5" ht="12.75">
      <c r="A39" s="69" t="s">
        <v>56</v>
      </c>
      <c r="B39" s="69"/>
      <c r="C39" s="69"/>
      <c r="D39" s="12">
        <f>D27+D35</f>
        <v>2.2845171300000007</v>
      </c>
      <c r="E39" s="12">
        <f>D30+D35</f>
        <v>1.2130960650000002</v>
      </c>
    </row>
    <row r="40" spans="1:5" ht="12.75">
      <c r="A40" s="69"/>
      <c r="B40" s="69"/>
      <c r="C40" s="69"/>
      <c r="D40" s="12" t="s">
        <v>57</v>
      </c>
      <c r="E40" t="s">
        <v>58</v>
      </c>
    </row>
    <row r="41" spans="1:4" ht="12.75">
      <c r="A41" s="2"/>
      <c r="B41" s="2"/>
      <c r="C41" s="2"/>
      <c r="D41" s="12"/>
    </row>
    <row r="42" spans="1:5" ht="12.75">
      <c r="A42" s="69"/>
      <c r="B42" s="69"/>
      <c r="C42" s="69"/>
      <c r="D42">
        <v>8.46</v>
      </c>
      <c r="E42">
        <v>1</v>
      </c>
    </row>
    <row r="43" spans="1:4" ht="12.75">
      <c r="A43" s="2"/>
      <c r="B43" s="2"/>
      <c r="C43" s="2"/>
      <c r="D43">
        <v>4.26</v>
      </c>
    </row>
    <row r="44" spans="1:5" ht="12.75">
      <c r="A44" s="69"/>
      <c r="B44" s="69"/>
      <c r="C44" s="69"/>
      <c r="D44">
        <v>7.5</v>
      </c>
      <c r="E44">
        <v>2</v>
      </c>
    </row>
    <row r="45" spans="1:4" ht="12.75">
      <c r="A45" s="2"/>
      <c r="B45" s="2"/>
      <c r="C45" s="2"/>
      <c r="D45">
        <v>3.75</v>
      </c>
    </row>
    <row r="46" spans="4:5" ht="12.75">
      <c r="D46">
        <v>9.02</v>
      </c>
      <c r="E46">
        <v>3</v>
      </c>
    </row>
    <row r="47" ht="12.75">
      <c r="D47">
        <v>4.76</v>
      </c>
    </row>
    <row r="48" spans="1:5" ht="12.75">
      <c r="A48" s="69"/>
      <c r="B48" s="69"/>
      <c r="C48" s="69"/>
      <c r="D48">
        <v>2.43</v>
      </c>
      <c r="E48">
        <v>4</v>
      </c>
    </row>
    <row r="49" spans="1:4" ht="12.75">
      <c r="A49" s="2"/>
      <c r="B49" s="2"/>
      <c r="C49" s="2"/>
      <c r="D49">
        <v>1.34</v>
      </c>
    </row>
    <row r="50" spans="1:5" ht="12.75">
      <c r="A50" s="69"/>
      <c r="B50" s="69"/>
      <c r="C50" s="69"/>
      <c r="D50">
        <v>0</v>
      </c>
      <c r="E50" t="s">
        <v>59</v>
      </c>
    </row>
    <row r="51" spans="1:4" ht="12.75">
      <c r="A51" s="2"/>
      <c r="B51" s="2"/>
      <c r="C51" s="2"/>
      <c r="D51">
        <v>0</v>
      </c>
    </row>
    <row r="52" spans="4:5" ht="12.75">
      <c r="D52">
        <v>7.5</v>
      </c>
      <c r="E52" t="s">
        <v>60</v>
      </c>
    </row>
    <row r="53" ht="12.75">
      <c r="D53">
        <v>3.75</v>
      </c>
    </row>
    <row r="54" spans="1:5" ht="12.75">
      <c r="A54" s="69"/>
      <c r="B54" s="69"/>
      <c r="C54" s="69"/>
      <c r="D54">
        <v>8.46</v>
      </c>
      <c r="E54" t="s">
        <v>61</v>
      </c>
    </row>
    <row r="55" spans="1:4" ht="12.75">
      <c r="A55" s="69"/>
      <c r="B55" s="69"/>
      <c r="C55" s="69"/>
      <c r="D55">
        <v>4.26</v>
      </c>
    </row>
  </sheetData>
  <mergeCells count="36">
    <mergeCell ref="A36:C36"/>
    <mergeCell ref="A40:C40"/>
    <mergeCell ref="A50:C50"/>
    <mergeCell ref="A54:C54"/>
    <mergeCell ref="A55:C55"/>
    <mergeCell ref="A39:C39"/>
    <mergeCell ref="A42:C42"/>
    <mergeCell ref="A44:C44"/>
    <mergeCell ref="A48:C48"/>
    <mergeCell ref="A11:C11"/>
    <mergeCell ref="A34:C34"/>
    <mergeCell ref="A35:C35"/>
    <mergeCell ref="A38:C38"/>
    <mergeCell ref="A27:C27"/>
    <mergeCell ref="A13:C13"/>
    <mergeCell ref="A23:C23"/>
    <mergeCell ref="A15:C15"/>
    <mergeCell ref="A14:C14"/>
    <mergeCell ref="A17:E17"/>
    <mergeCell ref="L1:P1"/>
    <mergeCell ref="K8:L8"/>
    <mergeCell ref="F9:H9"/>
    <mergeCell ref="A10:C10"/>
    <mergeCell ref="A1:E1"/>
    <mergeCell ref="F1:H1"/>
    <mergeCell ref="H3:H5"/>
    <mergeCell ref="A31:C31"/>
    <mergeCell ref="A28:C28"/>
    <mergeCell ref="A26:C26"/>
    <mergeCell ref="F19:H19"/>
    <mergeCell ref="A29:C29"/>
    <mergeCell ref="A30:C30"/>
    <mergeCell ref="A19:C19"/>
    <mergeCell ref="A21:C21"/>
    <mergeCell ref="A20:C20"/>
    <mergeCell ref="A24:C2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61">
      <selection activeCell="E102" sqref="E102"/>
    </sheetView>
  </sheetViews>
  <sheetFormatPr defaultColWidth="9.140625" defaultRowHeight="12.75"/>
  <cols>
    <col min="1" max="1" width="17.421875" style="0" customWidth="1"/>
    <col min="2" max="2" width="18.140625" style="0" customWidth="1"/>
    <col min="3" max="3" width="19.00390625" style="0" customWidth="1"/>
    <col min="4" max="4" width="14.140625" style="0" customWidth="1"/>
    <col min="5" max="5" width="10.7109375" style="0" customWidth="1"/>
    <col min="6" max="6" width="13.140625" style="0" customWidth="1"/>
    <col min="8" max="8" width="10.7109375" style="0" customWidth="1"/>
  </cols>
  <sheetData>
    <row r="1" spans="1:9" ht="18">
      <c r="A1" s="75" t="s">
        <v>64</v>
      </c>
      <c r="B1" s="75"/>
      <c r="C1" s="75"/>
      <c r="D1" s="75"/>
      <c r="E1" s="75"/>
      <c r="F1" s="75"/>
      <c r="G1" s="75"/>
      <c r="H1" s="75"/>
      <c r="I1" s="16"/>
    </row>
    <row r="2" spans="1:8" ht="12.75">
      <c r="A2" s="18"/>
      <c r="B2" s="17" t="s">
        <v>1</v>
      </c>
      <c r="C2" s="72" t="s">
        <v>17</v>
      </c>
      <c r="D2" s="73"/>
      <c r="E2" s="73"/>
      <c r="F2" s="73"/>
      <c r="G2" s="74"/>
      <c r="H2" s="20" t="s">
        <v>65</v>
      </c>
    </row>
    <row r="3" spans="1:9" ht="12.75">
      <c r="A3" s="31" t="s">
        <v>2</v>
      </c>
      <c r="B3" s="30" t="s">
        <v>20</v>
      </c>
      <c r="C3" s="30" t="s">
        <v>62</v>
      </c>
      <c r="D3" s="30" t="s">
        <v>16</v>
      </c>
      <c r="E3" s="30" t="s">
        <v>18</v>
      </c>
      <c r="F3" s="30" t="s">
        <v>21</v>
      </c>
      <c r="G3" s="30" t="s">
        <v>67</v>
      </c>
      <c r="H3" s="30" t="s">
        <v>66</v>
      </c>
      <c r="I3" s="22"/>
    </row>
    <row r="4" spans="1:8" ht="12.75">
      <c r="A4" s="32" t="s">
        <v>3</v>
      </c>
      <c r="B4" s="27">
        <v>8.5</v>
      </c>
      <c r="C4" s="27">
        <v>0.07</v>
      </c>
      <c r="D4" s="27">
        <v>0.05</v>
      </c>
      <c r="E4" s="33" t="s">
        <v>63</v>
      </c>
      <c r="F4" s="26" t="s">
        <v>63</v>
      </c>
      <c r="G4" s="18">
        <f>$C$4*$D$4</f>
        <v>0.0035000000000000005</v>
      </c>
      <c r="H4" s="23">
        <f>$B$4*$G$4</f>
        <v>0.029750000000000006</v>
      </c>
    </row>
    <row r="5" spans="1:8" ht="12.75">
      <c r="A5" s="34" t="s">
        <v>22</v>
      </c>
      <c r="B5" s="27">
        <v>8.5</v>
      </c>
      <c r="C5" s="26" t="s">
        <v>63</v>
      </c>
      <c r="D5" s="26" t="s">
        <v>63</v>
      </c>
      <c r="E5" s="33" t="s">
        <v>63</v>
      </c>
      <c r="F5" s="27">
        <f>10/100</f>
        <v>0.1</v>
      </c>
      <c r="G5" s="35">
        <f>0.25*PI()*($F$5^2)</f>
        <v>0.007853981633974483</v>
      </c>
      <c r="H5" s="23">
        <f>$B$5*$G$5</f>
        <v>0.06675884388878311</v>
      </c>
    </row>
    <row r="6" spans="1:8" ht="12.75">
      <c r="A6" s="34" t="s">
        <v>47</v>
      </c>
      <c r="B6" s="27">
        <v>8.5</v>
      </c>
      <c r="C6" s="26" t="s">
        <v>63</v>
      </c>
      <c r="D6" s="26" t="s">
        <v>63</v>
      </c>
      <c r="E6" s="33" t="s">
        <v>63</v>
      </c>
      <c r="F6" s="27">
        <f>12/100</f>
        <v>0.12</v>
      </c>
      <c r="G6" s="35">
        <f>0.25*PI()*($F$6^2)</f>
        <v>0.011309733552923255</v>
      </c>
      <c r="H6" s="23">
        <f>$B$6*$G$6</f>
        <v>0.09613273519984766</v>
      </c>
    </row>
    <row r="7" spans="1:8" ht="12.75">
      <c r="A7" s="32" t="s">
        <v>70</v>
      </c>
      <c r="B7" s="27">
        <v>78.5</v>
      </c>
      <c r="C7" s="27">
        <f>0.2/1000</f>
        <v>0.0002</v>
      </c>
      <c r="D7" s="21">
        <v>1</v>
      </c>
      <c r="E7" s="21">
        <v>2</v>
      </c>
      <c r="F7" s="18"/>
      <c r="G7" s="18">
        <f>$C$7*$D$7</f>
        <v>0.0002</v>
      </c>
      <c r="H7" s="23">
        <f>$B$7*$G$7</f>
        <v>0.015700000000000002</v>
      </c>
    </row>
    <row r="10" spans="1:4" ht="12.75">
      <c r="A10" s="77" t="s">
        <v>68</v>
      </c>
      <c r="B10" s="77"/>
      <c r="C10" s="77"/>
      <c r="D10" s="77"/>
    </row>
    <row r="11" spans="1:4" ht="12.75">
      <c r="A11" s="28" t="s">
        <v>12</v>
      </c>
      <c r="B11" s="28" t="s">
        <v>13</v>
      </c>
      <c r="C11" s="29" t="s">
        <v>14</v>
      </c>
      <c r="D11" s="30" t="s">
        <v>69</v>
      </c>
    </row>
    <row r="12" spans="1:4" ht="12.75">
      <c r="A12" s="21" t="s">
        <v>5</v>
      </c>
      <c r="B12" s="18">
        <v>1.3</v>
      </c>
      <c r="C12" s="76">
        <v>0.9</v>
      </c>
      <c r="D12" s="18">
        <f>$B$12*$C$12</f>
        <v>1.1700000000000002</v>
      </c>
    </row>
    <row r="13" spans="1:4" ht="12.75">
      <c r="A13" s="21" t="s">
        <v>6</v>
      </c>
      <c r="B13" s="18">
        <v>1.6</v>
      </c>
      <c r="C13" s="76"/>
      <c r="D13" s="18">
        <f>$B$13*$C$12</f>
        <v>1.4400000000000002</v>
      </c>
    </row>
    <row r="14" spans="1:4" ht="12.75">
      <c r="A14" s="21" t="s">
        <v>7</v>
      </c>
      <c r="B14" s="18">
        <v>1</v>
      </c>
      <c r="C14" s="76"/>
      <c r="D14" s="18">
        <f>$B$14*$C$12</f>
        <v>0.9</v>
      </c>
    </row>
    <row r="16" spans="1:8" ht="15.75">
      <c r="A16" s="71" t="s">
        <v>75</v>
      </c>
      <c r="B16" s="71"/>
      <c r="C16" s="71"/>
      <c r="D16" s="71"/>
      <c r="E16" s="71"/>
      <c r="F16" s="71"/>
      <c r="G16" s="71"/>
      <c r="H16" s="71"/>
    </row>
    <row r="18" spans="1:3" ht="12.75">
      <c r="A18" s="28" t="s">
        <v>12</v>
      </c>
      <c r="B18" s="30" t="s">
        <v>8</v>
      </c>
      <c r="C18" s="30" t="s">
        <v>9</v>
      </c>
    </row>
    <row r="19" spans="1:3" ht="12.75">
      <c r="A19" s="21" t="s">
        <v>26</v>
      </c>
      <c r="B19" s="24">
        <f>$H$7</f>
        <v>0.015700000000000002</v>
      </c>
      <c r="C19" s="23">
        <f>$D$12*$B$19</f>
        <v>0.018369000000000003</v>
      </c>
    </row>
    <row r="20" spans="1:8" ht="12.75">
      <c r="A20" s="21" t="s">
        <v>27</v>
      </c>
      <c r="B20" s="25">
        <v>1</v>
      </c>
      <c r="C20" s="23">
        <f>$D$13*$B$20</f>
        <v>1.4400000000000002</v>
      </c>
      <c r="F20" s="65" t="s">
        <v>25</v>
      </c>
      <c r="G20" s="67"/>
      <c r="H20" s="19">
        <v>0.9</v>
      </c>
    </row>
    <row r="21" spans="1:3" ht="12.75">
      <c r="A21" s="21" t="s">
        <v>28</v>
      </c>
      <c r="B21" s="25">
        <v>0.255</v>
      </c>
      <c r="C21" s="23">
        <f>$D$14*$B$21</f>
        <v>0.2295</v>
      </c>
    </row>
    <row r="22" spans="1:3" ht="12.75">
      <c r="A22" s="44"/>
      <c r="B22" s="45"/>
      <c r="C22" s="46"/>
    </row>
    <row r="23" spans="1:3" ht="12.75">
      <c r="A23" s="78"/>
      <c r="B23" s="78"/>
      <c r="C23" s="29" t="s">
        <v>79</v>
      </c>
    </row>
    <row r="24" spans="1:3" ht="12.75">
      <c r="A24" s="85" t="s">
        <v>77</v>
      </c>
      <c r="B24" s="85"/>
      <c r="C24" s="38">
        <f>(($C$19+$C$21)*$H$20)/2</f>
        <v>0.11154105</v>
      </c>
    </row>
    <row r="25" spans="1:3" ht="12.75">
      <c r="A25" s="85" t="s">
        <v>78</v>
      </c>
      <c r="B25" s="85"/>
      <c r="C25" s="38">
        <f>$C$20/2</f>
        <v>0.7200000000000001</v>
      </c>
    </row>
    <row r="27" spans="1:4" ht="12.75">
      <c r="A27" s="63" t="s">
        <v>80</v>
      </c>
      <c r="B27" s="63"/>
      <c r="C27" s="36">
        <f>2*($C$24+$C$25)</f>
        <v>1.6630821000000002</v>
      </c>
      <c r="D27" s="8"/>
    </row>
    <row r="28" spans="2:5" ht="12.75">
      <c r="B28" s="63"/>
      <c r="C28" s="63"/>
      <c r="D28" s="63"/>
      <c r="E28" s="36"/>
    </row>
    <row r="31" spans="1:8" ht="15.75">
      <c r="A31" s="84" t="s">
        <v>74</v>
      </c>
      <c r="B31" s="84"/>
      <c r="C31" s="84"/>
      <c r="D31" s="84"/>
      <c r="E31" s="84"/>
      <c r="F31" s="84"/>
      <c r="G31" s="84"/>
      <c r="H31" s="84"/>
    </row>
    <row r="33" spans="1:4" ht="12.75">
      <c r="A33" s="82" t="s">
        <v>12</v>
      </c>
      <c r="B33" s="82"/>
      <c r="C33" s="82"/>
      <c r="D33" s="30" t="s">
        <v>66</v>
      </c>
    </row>
    <row r="34" spans="1:8" ht="12.75">
      <c r="A34" s="81" t="s">
        <v>71</v>
      </c>
      <c r="B34" s="81"/>
      <c r="C34" s="81"/>
      <c r="D34" s="37">
        <f>1.3*$H$4</f>
        <v>0.03867500000000001</v>
      </c>
      <c r="F34" s="83" t="s">
        <v>30</v>
      </c>
      <c r="G34" s="83"/>
      <c r="H34" s="19">
        <v>1.3</v>
      </c>
    </row>
    <row r="35" spans="1:4" ht="12.75">
      <c r="A35" s="81" t="s">
        <v>72</v>
      </c>
      <c r="B35" s="81"/>
      <c r="C35" s="81"/>
      <c r="D35" s="37">
        <f>$C$27</f>
        <v>1.6630821000000002</v>
      </c>
    </row>
    <row r="36" spans="2:4" ht="12.75">
      <c r="B36" s="60"/>
      <c r="C36" s="61"/>
      <c r="D36" s="41"/>
    </row>
    <row r="37" spans="2:4" ht="12.75">
      <c r="B37" s="81" t="s">
        <v>73</v>
      </c>
      <c r="C37" s="81"/>
      <c r="D37" s="38">
        <f>$D$34+$D$35</f>
        <v>1.7017571000000002</v>
      </c>
    </row>
    <row r="38" spans="2:4" ht="12.75">
      <c r="B38" s="59"/>
      <c r="C38" s="59"/>
      <c r="D38" s="40"/>
    </row>
    <row r="40" spans="1:3" ht="12.75">
      <c r="A40" s="42"/>
      <c r="B40" s="42"/>
      <c r="C40" s="42"/>
    </row>
    <row r="41" spans="1:4" ht="12.75">
      <c r="A41" s="63" t="s">
        <v>43</v>
      </c>
      <c r="B41" s="63"/>
      <c r="C41" s="63"/>
      <c r="D41" s="43">
        <f>2*($D$37*$H$34/2)</f>
        <v>2.2122842300000003</v>
      </c>
    </row>
    <row r="42" spans="1:4" ht="12.75">
      <c r="A42" s="63" t="s">
        <v>44</v>
      </c>
      <c r="B42" s="63"/>
      <c r="C42" s="63"/>
      <c r="D42" s="43">
        <f>($D$37*$H$34/2)</f>
        <v>1.1061421150000001</v>
      </c>
    </row>
    <row r="43" spans="1:3" ht="12.75">
      <c r="A43" s="42"/>
      <c r="B43" s="42"/>
      <c r="C43" s="42"/>
    </row>
    <row r="44" spans="1:3" ht="12.75">
      <c r="A44" s="8"/>
      <c r="B44" s="8"/>
      <c r="C44" s="8"/>
    </row>
    <row r="45" spans="1:8" ht="15.75">
      <c r="A45" s="84" t="s">
        <v>76</v>
      </c>
      <c r="B45" s="84"/>
      <c r="C45" s="84"/>
      <c r="D45" s="84"/>
      <c r="E45" s="84"/>
      <c r="F45" s="84"/>
      <c r="G45" s="84"/>
      <c r="H45" s="84"/>
    </row>
    <row r="47" spans="1:3" ht="12.75">
      <c r="A47" s="69" t="s">
        <v>85</v>
      </c>
      <c r="B47" s="69"/>
      <c r="C47" s="69"/>
    </row>
    <row r="48" ht="12.75">
      <c r="A48" t="s">
        <v>81</v>
      </c>
    </row>
    <row r="49" ht="12.75">
      <c r="A49" s="48" t="s">
        <v>82</v>
      </c>
    </row>
    <row r="50" ht="12.75">
      <c r="A50" s="48"/>
    </row>
    <row r="51" spans="1:3" ht="12.75">
      <c r="A51" s="79"/>
      <c r="B51" s="80"/>
      <c r="C51" s="30" t="s">
        <v>94</v>
      </c>
    </row>
    <row r="52" spans="1:3" ht="12.75">
      <c r="A52" s="81" t="s">
        <v>93</v>
      </c>
      <c r="B52" s="81"/>
      <c r="C52" s="52">
        <v>15</v>
      </c>
    </row>
    <row r="53" spans="1:3" ht="12.75">
      <c r="A53" s="81" t="s">
        <v>88</v>
      </c>
      <c r="B53" s="81"/>
      <c r="C53" s="21">
        <f>($H$56/100)*$C$52</f>
        <v>3.15</v>
      </c>
    </row>
    <row r="54" spans="1:3" ht="12.75">
      <c r="A54" s="81" t="s">
        <v>92</v>
      </c>
      <c r="B54" s="81"/>
      <c r="C54" s="38">
        <f>(($C$52^2)+($C$53^2))^0.5</f>
        <v>15.327181737031763</v>
      </c>
    </row>
    <row r="55" spans="1:8" ht="12.75">
      <c r="A55" s="10"/>
      <c r="B55" s="10"/>
      <c r="C55" s="9"/>
      <c r="E55" s="69" t="s">
        <v>84</v>
      </c>
      <c r="F55" s="69"/>
      <c r="G55" s="69"/>
      <c r="H55" s="49">
        <v>1.2</v>
      </c>
    </row>
    <row r="56" spans="1:8" ht="12.75">
      <c r="A56" s="63" t="s">
        <v>83</v>
      </c>
      <c r="B56" s="63"/>
      <c r="C56" s="50">
        <f>$C$52/$H$55</f>
        <v>12.5</v>
      </c>
      <c r="E56" s="69" t="s">
        <v>89</v>
      </c>
      <c r="F56" s="69"/>
      <c r="G56" s="69"/>
      <c r="H56" s="51">
        <v>21</v>
      </c>
    </row>
    <row r="58" spans="2:8" ht="12.75">
      <c r="B58" s="47" t="s">
        <v>90</v>
      </c>
      <c r="C58" s="21" t="s">
        <v>86</v>
      </c>
      <c r="D58" s="21" t="s">
        <v>87</v>
      </c>
      <c r="E58" s="39" t="s">
        <v>91</v>
      </c>
      <c r="F58" s="2"/>
      <c r="G58" s="2"/>
      <c r="H58" s="51"/>
    </row>
    <row r="59" spans="2:5" ht="12.75">
      <c r="B59" s="53">
        <v>1</v>
      </c>
      <c r="C59" s="38">
        <f>$C$52</f>
        <v>15</v>
      </c>
      <c r="D59" s="54">
        <f>$C$53*$C59/$C$52</f>
        <v>3.15</v>
      </c>
      <c r="E59" s="18"/>
    </row>
    <row r="60" spans="2:5" ht="12.75">
      <c r="B60" s="53">
        <v>2</v>
      </c>
      <c r="C60" s="21">
        <f aca="true" t="shared" si="0" ref="C60:C71">$C$52-$B59*$H$55</f>
        <v>13.8</v>
      </c>
      <c r="D60" s="54">
        <f aca="true" t="shared" si="1" ref="D60:D71">$C$53*$C60/$C$52</f>
        <v>2.898</v>
      </c>
      <c r="E60" s="55">
        <f aca="true" t="shared" si="2" ref="E60:E71">(($D60^2)+($H$55^2))^0.5</f>
        <v>3.136623024846945</v>
      </c>
    </row>
    <row r="61" spans="2:5" ht="12.75">
      <c r="B61" s="53">
        <v>3</v>
      </c>
      <c r="C61" s="21">
        <f t="shared" si="0"/>
        <v>12.6</v>
      </c>
      <c r="D61" s="54">
        <f t="shared" si="1"/>
        <v>2.646</v>
      </c>
      <c r="E61" s="55">
        <f t="shared" si="2"/>
        <v>2.9053942933791275</v>
      </c>
    </row>
    <row r="62" spans="2:5" ht="12.75">
      <c r="B62" s="53">
        <v>4</v>
      </c>
      <c r="C62" s="21">
        <f t="shared" si="0"/>
        <v>11.4</v>
      </c>
      <c r="D62" s="54">
        <f t="shared" si="1"/>
        <v>2.3939999999999997</v>
      </c>
      <c r="E62" s="55">
        <f t="shared" si="2"/>
        <v>2.6779163541828557</v>
      </c>
    </row>
    <row r="63" spans="2:5" ht="12.75">
      <c r="B63" s="53">
        <v>5</v>
      </c>
      <c r="C63" s="21">
        <f t="shared" si="0"/>
        <v>10.2</v>
      </c>
      <c r="D63" s="54">
        <f t="shared" si="1"/>
        <v>2.142</v>
      </c>
      <c r="E63" s="55">
        <f t="shared" si="2"/>
        <v>2.4552319646013085</v>
      </c>
    </row>
    <row r="64" spans="2:5" ht="12.75">
      <c r="B64" s="53">
        <v>6</v>
      </c>
      <c r="C64" s="21">
        <f t="shared" si="0"/>
        <v>9</v>
      </c>
      <c r="D64" s="54">
        <f t="shared" si="1"/>
        <v>1.89</v>
      </c>
      <c r="E64" s="55">
        <f t="shared" si="2"/>
        <v>2.2387719848166765</v>
      </c>
    </row>
    <row r="65" spans="2:5" ht="12.75">
      <c r="B65" s="53">
        <v>7</v>
      </c>
      <c r="C65" s="21">
        <f t="shared" si="0"/>
        <v>7.800000000000001</v>
      </c>
      <c r="D65" s="54">
        <f t="shared" si="1"/>
        <v>1.6380000000000001</v>
      </c>
      <c r="E65" s="55">
        <f t="shared" si="2"/>
        <v>2.0305280101490846</v>
      </c>
    </row>
    <row r="66" spans="2:5" ht="12.75">
      <c r="B66" s="53">
        <v>8</v>
      </c>
      <c r="C66" s="21">
        <f t="shared" si="0"/>
        <v>6.6</v>
      </c>
      <c r="D66" s="54">
        <f t="shared" si="1"/>
        <v>1.386</v>
      </c>
      <c r="E66" s="55">
        <f t="shared" si="2"/>
        <v>1.8333019391251404</v>
      </c>
    </row>
    <row r="67" spans="2:5" ht="12.75">
      <c r="B67" s="53">
        <v>9</v>
      </c>
      <c r="C67" s="21">
        <f t="shared" si="0"/>
        <v>5.4</v>
      </c>
      <c r="D67" s="54">
        <f t="shared" si="1"/>
        <v>1.1340000000000001</v>
      </c>
      <c r="E67" s="55">
        <f t="shared" si="2"/>
        <v>1.6510469405804307</v>
      </c>
    </row>
    <row r="68" spans="2:5" ht="12.75">
      <c r="B68" s="53">
        <v>10</v>
      </c>
      <c r="C68" s="21">
        <f t="shared" si="0"/>
        <v>4.200000000000001</v>
      </c>
      <c r="D68" s="54">
        <f t="shared" si="1"/>
        <v>0.8820000000000001</v>
      </c>
      <c r="E68" s="55">
        <f t="shared" si="2"/>
        <v>1.4892696196458182</v>
      </c>
    </row>
    <row r="69" spans="2:5" ht="12.75">
      <c r="B69" s="53">
        <v>11</v>
      </c>
      <c r="C69" s="21">
        <f t="shared" si="0"/>
        <v>3</v>
      </c>
      <c r="D69" s="54">
        <f t="shared" si="1"/>
        <v>0.63</v>
      </c>
      <c r="E69" s="55">
        <f t="shared" si="2"/>
        <v>1.355322839769182</v>
      </c>
    </row>
    <row r="70" spans="2:5" ht="12.75">
      <c r="B70" s="53">
        <v>12</v>
      </c>
      <c r="C70" s="21">
        <f t="shared" si="0"/>
        <v>1.8000000000000007</v>
      </c>
      <c r="D70" s="54">
        <f t="shared" si="1"/>
        <v>0.3780000000000001</v>
      </c>
      <c r="E70" s="55">
        <f t="shared" si="2"/>
        <v>1.2581271795808244</v>
      </c>
    </row>
    <row r="71" spans="2:5" ht="12.75">
      <c r="B71" s="53">
        <v>13</v>
      </c>
      <c r="C71" s="21">
        <f t="shared" si="0"/>
        <v>0.6000000000000014</v>
      </c>
      <c r="D71" s="54">
        <f t="shared" si="1"/>
        <v>0.12600000000000028</v>
      </c>
      <c r="E71" s="55">
        <f t="shared" si="2"/>
        <v>1.2065968672261669</v>
      </c>
    </row>
    <row r="72" spans="3:6" ht="12.75">
      <c r="C72" s="44" t="s">
        <v>95</v>
      </c>
      <c r="D72" s="58">
        <f>SUM(D60:D71)</f>
        <v>18.144000000000002</v>
      </c>
      <c r="E72" s="57">
        <f>SUM(E60:E71)</f>
        <v>24.238131017903562</v>
      </c>
      <c r="F72" s="34" t="s">
        <v>100</v>
      </c>
    </row>
    <row r="73" spans="4:6" ht="12.75">
      <c r="D73" s="56">
        <f>D59</f>
        <v>3.15</v>
      </c>
      <c r="F73" s="34" t="s">
        <v>98</v>
      </c>
    </row>
    <row r="75" ht="12.75">
      <c r="F75" s="22"/>
    </row>
    <row r="76" spans="2:4" ht="12.75">
      <c r="B76" s="9" t="s">
        <v>96</v>
      </c>
      <c r="C76" s="43">
        <f>$D$72+$E$72</f>
        <v>42.38213101790356</v>
      </c>
      <c r="D76" s="34" t="s">
        <v>99</v>
      </c>
    </row>
    <row r="77" spans="3:4" ht="12.75">
      <c r="C77" s="43">
        <f>$D$73+$C$54+$C$52</f>
        <v>33.47718173703176</v>
      </c>
      <c r="D77" s="34" t="s">
        <v>98</v>
      </c>
    </row>
    <row r="79" spans="1:3" ht="12.75">
      <c r="A79" s="69" t="s">
        <v>97</v>
      </c>
      <c r="B79" s="69"/>
      <c r="C79" s="69"/>
    </row>
    <row r="80" spans="1:3" ht="12.75">
      <c r="A80" s="86" t="s">
        <v>103</v>
      </c>
      <c r="B80" s="87">
        <f>$C$76</f>
        <v>42.38213101790356</v>
      </c>
      <c r="C80" s="34" t="s">
        <v>99</v>
      </c>
    </row>
    <row r="81" spans="1:3" ht="12.75">
      <c r="A81" s="18"/>
      <c r="B81" s="87">
        <f>$C$77</f>
        <v>33.47718173703176</v>
      </c>
      <c r="C81" s="34" t="s">
        <v>98</v>
      </c>
    </row>
    <row r="82" spans="2:3" ht="12.75">
      <c r="B82" s="11"/>
      <c r="C82" s="34"/>
    </row>
    <row r="83" spans="1:3" ht="12.75">
      <c r="A83" s="86" t="s">
        <v>104</v>
      </c>
      <c r="B83" s="88">
        <f>$H$5</f>
        <v>0.06675884388878311</v>
      </c>
      <c r="C83" s="34" t="s">
        <v>99</v>
      </c>
    </row>
    <row r="84" spans="1:3" ht="12.75">
      <c r="A84" s="18"/>
      <c r="B84" s="88">
        <f>$H$6</f>
        <v>0.09613273519984766</v>
      </c>
      <c r="C84" s="34" t="s">
        <v>98</v>
      </c>
    </row>
    <row r="86" spans="1:3" ht="12.75">
      <c r="A86" s="89" t="s">
        <v>101</v>
      </c>
      <c r="B86" s="55">
        <f>$B$80*$B$83</f>
        <v>2.8293820682981763</v>
      </c>
      <c r="C86" s="34" t="s">
        <v>99</v>
      </c>
    </row>
    <row r="87" spans="1:3" ht="12.75">
      <c r="A87" s="18"/>
      <c r="B87" s="55">
        <f>$B$81*$B$84</f>
        <v>3.218253047163251</v>
      </c>
      <c r="C87" s="34" t="s">
        <v>98</v>
      </c>
    </row>
    <row r="89" spans="1:2" ht="12.75">
      <c r="A89" s="62" t="s">
        <v>102</v>
      </c>
      <c r="B89" s="43">
        <f>$B$86+$B$87</f>
        <v>6.047635115461427</v>
      </c>
    </row>
    <row r="92" spans="1:3" ht="12.75">
      <c r="A92" s="63" t="s">
        <v>106</v>
      </c>
      <c r="B92" s="63"/>
      <c r="C92" s="63"/>
    </row>
    <row r="93" spans="1:8" ht="12.75">
      <c r="A93" s="76"/>
      <c r="B93" s="76"/>
      <c r="C93" s="29" t="s">
        <v>105</v>
      </c>
      <c r="D93" s="51" t="s">
        <v>110</v>
      </c>
      <c r="E93" s="51"/>
      <c r="F93" s="51"/>
      <c r="G93" s="51"/>
      <c r="H93" s="51"/>
    </row>
    <row r="94" spans="1:8" ht="12.75">
      <c r="A94" s="81" t="s">
        <v>107</v>
      </c>
      <c r="B94" s="81"/>
      <c r="C94" s="38">
        <f>$D$42+$B$89</f>
        <v>7.153777230461427</v>
      </c>
      <c r="D94" s="90" t="s">
        <v>109</v>
      </c>
      <c r="E94" s="91"/>
      <c r="F94" s="91"/>
      <c r="G94" s="91"/>
      <c r="H94" s="91"/>
    </row>
    <row r="95" spans="1:8" ht="12.75">
      <c r="A95" s="81" t="s">
        <v>108</v>
      </c>
      <c r="B95" s="81"/>
      <c r="C95" s="38">
        <f>$D$41+$B$89</f>
        <v>8.259919345461427</v>
      </c>
      <c r="D95" s="90" t="s">
        <v>109</v>
      </c>
      <c r="E95" s="91"/>
      <c r="F95" s="91"/>
      <c r="G95" s="91"/>
      <c r="H95" s="91"/>
    </row>
    <row r="97" spans="1:3" ht="15">
      <c r="A97" s="92" t="s">
        <v>119</v>
      </c>
      <c r="B97" s="92"/>
      <c r="C97" s="92"/>
    </row>
    <row r="98" ht="12.75">
      <c r="A98" s="93" t="s">
        <v>111</v>
      </c>
    </row>
    <row r="99" spans="2:4" ht="12.75">
      <c r="B99" s="94" t="s">
        <v>112</v>
      </c>
      <c r="C99" s="94"/>
      <c r="D99" s="94"/>
    </row>
    <row r="100" spans="2:4" ht="12.75">
      <c r="B100" s="95" t="s">
        <v>117</v>
      </c>
      <c r="C100" s="95" t="s">
        <v>114</v>
      </c>
      <c r="D100" s="95" t="s">
        <v>116</v>
      </c>
    </row>
    <row r="101" spans="2:4" ht="12.75">
      <c r="B101" s="96">
        <f>$C$56+1</f>
        <v>13.5</v>
      </c>
      <c r="C101" s="96">
        <f>$B$101-2</f>
        <v>11.5</v>
      </c>
      <c r="D101" s="96">
        <f>$B$101-$C$101</f>
        <v>2</v>
      </c>
    </row>
    <row r="103" spans="2:4" ht="12.75">
      <c r="B103" s="97" t="s">
        <v>113</v>
      </c>
      <c r="C103" s="97"/>
      <c r="D103" s="97"/>
    </row>
    <row r="104" spans="2:4" ht="12.75">
      <c r="B104" s="98" t="s">
        <v>118</v>
      </c>
      <c r="C104" s="98" t="s">
        <v>115</v>
      </c>
      <c r="D104" s="98" t="s">
        <v>116</v>
      </c>
    </row>
    <row r="105" spans="2:4" ht="12.75">
      <c r="B105" s="99">
        <f>$C$94</f>
        <v>7.153777230461427</v>
      </c>
      <c r="C105" s="99">
        <f>$B$105/$C$56</f>
        <v>0.5723021784369141</v>
      </c>
      <c r="D105" s="99">
        <f>$C$105/2</f>
        <v>0.28615108921845706</v>
      </c>
    </row>
    <row r="107" ht="12.75">
      <c r="A107" s="93" t="s">
        <v>120</v>
      </c>
    </row>
    <row r="108" spans="2:4" ht="12.75">
      <c r="B108" s="94" t="s">
        <v>112</v>
      </c>
      <c r="C108" s="94"/>
      <c r="D108" s="94"/>
    </row>
    <row r="109" spans="2:4" ht="12.75">
      <c r="B109" s="95" t="s">
        <v>117</v>
      </c>
      <c r="C109" s="95" t="s">
        <v>114</v>
      </c>
      <c r="D109" s="95" t="s">
        <v>116</v>
      </c>
    </row>
    <row r="110" spans="2:4" ht="12.75">
      <c r="B110" s="96">
        <f>$C$56+1</f>
        <v>13.5</v>
      </c>
      <c r="C110" s="96">
        <f>$B$101-2</f>
        <v>11.5</v>
      </c>
      <c r="D110" s="96">
        <f>$B$101-$C$101</f>
        <v>2</v>
      </c>
    </row>
    <row r="112" spans="2:4" ht="12.75">
      <c r="B112" s="97" t="s">
        <v>113</v>
      </c>
      <c r="C112" s="97"/>
      <c r="D112" s="97"/>
    </row>
    <row r="113" spans="2:4" ht="12.75">
      <c r="B113" s="98" t="s">
        <v>118</v>
      </c>
      <c r="C113" s="98" t="s">
        <v>115</v>
      </c>
      <c r="D113" s="98" t="s">
        <v>116</v>
      </c>
    </row>
    <row r="114" spans="2:4" ht="12.75">
      <c r="B114" s="99">
        <f>$C$95</f>
        <v>8.259919345461427</v>
      </c>
      <c r="C114" s="99">
        <f>$B$114/$C$56</f>
        <v>0.6607935476369141</v>
      </c>
      <c r="D114" s="99">
        <f>$C$114/2</f>
        <v>0.33039677381845706</v>
      </c>
    </row>
  </sheetData>
  <mergeCells count="42">
    <mergeCell ref="B103:D103"/>
    <mergeCell ref="B108:D108"/>
    <mergeCell ref="B112:D112"/>
    <mergeCell ref="D94:H94"/>
    <mergeCell ref="D95:H95"/>
    <mergeCell ref="A97:C97"/>
    <mergeCell ref="B99:D99"/>
    <mergeCell ref="A92:C92"/>
    <mergeCell ref="A95:B95"/>
    <mergeCell ref="A94:B94"/>
    <mergeCell ref="A93:B93"/>
    <mergeCell ref="A79:C79"/>
    <mergeCell ref="E56:G56"/>
    <mergeCell ref="A52:B52"/>
    <mergeCell ref="A56:B56"/>
    <mergeCell ref="A53:B53"/>
    <mergeCell ref="A54:B54"/>
    <mergeCell ref="A42:C42"/>
    <mergeCell ref="A45:H45"/>
    <mergeCell ref="A24:B24"/>
    <mergeCell ref="A25:B25"/>
    <mergeCell ref="A27:B27"/>
    <mergeCell ref="B37:C37"/>
    <mergeCell ref="B38:C38"/>
    <mergeCell ref="A41:C41"/>
    <mergeCell ref="B36:C36"/>
    <mergeCell ref="A31:H31"/>
    <mergeCell ref="B28:D28"/>
    <mergeCell ref="A23:B23"/>
    <mergeCell ref="F20:G20"/>
    <mergeCell ref="E55:G55"/>
    <mergeCell ref="A47:C47"/>
    <mergeCell ref="A51:B51"/>
    <mergeCell ref="A35:C35"/>
    <mergeCell ref="A34:C34"/>
    <mergeCell ref="A33:C33"/>
    <mergeCell ref="F34:G34"/>
    <mergeCell ref="A16:H16"/>
    <mergeCell ref="C2:G2"/>
    <mergeCell ref="A1:H1"/>
    <mergeCell ref="C12:C14"/>
    <mergeCell ref="A10:D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1996-10-14T23:33:28Z</dcterms:created>
  <dcterms:modified xsi:type="dcterms:W3CDTF">2006-08-26T21:41:45Z</dcterms:modified>
  <cp:category/>
  <cp:version/>
  <cp:contentType/>
  <cp:contentStatus/>
</cp:coreProperties>
</file>