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75" windowHeight="6150" activeTab="0"/>
  </bookViews>
  <sheets>
    <sheet name="F-1" sheetId="1" r:id="rId1"/>
    <sheet name="Rxns" sheetId="2" r:id="rId2"/>
    <sheet name="km-ks" sheetId="3" r:id="rId3"/>
  </sheets>
  <definedNames>
    <definedName name="Mx" localSheetId="0">'F-1'!$D$9</definedName>
    <definedName name="My" localSheetId="0">'F-1'!$D$10</definedName>
    <definedName name="Pmax" localSheetId="0">'F-1'!$D$8</definedName>
  </definedNames>
  <calcPr fullCalcOnLoad="1"/>
</workbook>
</file>

<file path=xl/sharedStrings.xml><?xml version="1.0" encoding="utf-8"?>
<sst xmlns="http://schemas.openxmlformats.org/spreadsheetml/2006/main" count="108" uniqueCount="101">
  <si>
    <t>ISOLATED FOOTING DESIGN</t>
  </si>
  <si>
    <r>
      <t xml:space="preserve">Footing type </t>
    </r>
    <r>
      <rPr>
        <b/>
        <sz val="16"/>
        <rFont val="Arial"/>
        <family val="2"/>
      </rPr>
      <t>a</t>
    </r>
  </si>
  <si>
    <t>Fa</t>
  </si>
  <si>
    <t>Depth   =</t>
  </si>
  <si>
    <t>m</t>
  </si>
  <si>
    <t>I. MAXIMUM DESIGN LOAD</t>
  </si>
  <si>
    <t>Ps=</t>
  </si>
  <si>
    <t>Soil Wt. &amp; own Wt. of footing</t>
  </si>
  <si>
    <t>Ptot=</t>
  </si>
  <si>
    <t>KN</t>
  </si>
  <si>
    <t>Mx=</t>
  </si>
  <si>
    <t>KNm</t>
  </si>
  <si>
    <t>My=</t>
  </si>
  <si>
    <t>Column dimensions</t>
  </si>
  <si>
    <t>c=</t>
  </si>
  <si>
    <t>d=</t>
  </si>
  <si>
    <t>s=</t>
  </si>
  <si>
    <t>the allowable soil pressure</t>
  </si>
  <si>
    <t>A=</t>
  </si>
  <si>
    <t>axb</t>
  </si>
  <si>
    <t>ASSUME a/b=</t>
  </si>
  <si>
    <t>a= length of footing</t>
  </si>
  <si>
    <t>b= width of footing</t>
  </si>
  <si>
    <t xml:space="preserve">P= load sustained by the footing </t>
  </si>
  <si>
    <t>P/A =</t>
  </si>
  <si>
    <t>Structural design</t>
  </si>
  <si>
    <t>use concrete strength</t>
  </si>
  <si>
    <t>Mpa</t>
  </si>
  <si>
    <t>Fcd=</t>
  </si>
  <si>
    <t>Fctd=</t>
  </si>
  <si>
    <t xml:space="preserve">   </t>
  </si>
  <si>
    <t>Steel S-300</t>
  </si>
  <si>
    <t>A)</t>
  </si>
  <si>
    <t>Punching Shear</t>
  </si>
  <si>
    <t>taking concrete cover to be =</t>
  </si>
  <si>
    <t>mm</t>
  </si>
  <si>
    <t>B)</t>
  </si>
  <si>
    <t>Wide beam shear</t>
  </si>
  <si>
    <t>C)</t>
  </si>
  <si>
    <t>Bending moment</t>
  </si>
  <si>
    <t>Mx-x=</t>
  </si>
  <si>
    <t>per meter</t>
  </si>
  <si>
    <t>My-y=</t>
  </si>
  <si>
    <t>F</t>
  </si>
  <si>
    <t>mm2</t>
  </si>
  <si>
    <t>D)</t>
  </si>
  <si>
    <t>Reinforcement</t>
  </si>
  <si>
    <t>Use</t>
  </si>
  <si>
    <t>Asmin=</t>
  </si>
  <si>
    <t>Kdx-x=</t>
  </si>
  <si>
    <t>Ksa-a=</t>
  </si>
  <si>
    <t>Asx-x=</t>
  </si>
  <si>
    <t>Kdy-y=</t>
  </si>
  <si>
    <t>Ksb-b=</t>
  </si>
  <si>
    <t>Asy-y=</t>
  </si>
  <si>
    <r>
      <t>KN/m</t>
    </r>
    <r>
      <rPr>
        <vertAlign val="superscript"/>
        <sz val="10"/>
        <rFont val="Arial"/>
        <family val="2"/>
      </rPr>
      <t>2</t>
    </r>
  </si>
  <si>
    <r>
      <t>P/A(1+6xe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/a+6e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/b)</t>
    </r>
  </si>
  <si>
    <r>
      <t xml:space="preserve">Where </t>
    </r>
    <r>
      <rPr>
        <sz val="10"/>
        <rFont val="GreekC"/>
        <family val="0"/>
      </rPr>
      <t>s</t>
    </r>
    <r>
      <rPr>
        <sz val="10"/>
        <rFont val="Arial"/>
        <family val="0"/>
      </rPr>
      <t>=</t>
    </r>
  </si>
  <si>
    <r>
      <t>s</t>
    </r>
    <r>
      <rPr>
        <sz val="10"/>
        <rFont val="Arial"/>
        <family val="2"/>
      </rPr>
      <t>avg</t>
    </r>
    <r>
      <rPr>
        <sz val="10"/>
        <rFont val="GreekC"/>
        <family val="0"/>
      </rPr>
      <t>=</t>
    </r>
  </si>
  <si>
    <r>
      <t>r</t>
    </r>
    <r>
      <rPr>
        <vertAlign val="subscript"/>
        <sz val="12"/>
        <rFont val="Arial"/>
        <family val="2"/>
      </rPr>
      <t>min</t>
    </r>
    <r>
      <rPr>
        <sz val="10"/>
        <rFont val="GreekC"/>
        <family val="0"/>
      </rPr>
      <t>=</t>
    </r>
  </si>
  <si>
    <r>
      <t>mm</t>
    </r>
    <r>
      <rPr>
        <vertAlign val="superscript"/>
        <sz val="10"/>
        <rFont val="Arial"/>
        <family val="2"/>
      </rPr>
      <t xml:space="preserve">2 </t>
    </r>
  </si>
  <si>
    <r>
      <t>mm</t>
    </r>
    <r>
      <rPr>
        <vertAlign val="superscript"/>
        <sz val="10"/>
        <rFont val="Arial"/>
        <family val="2"/>
      </rPr>
      <t>2</t>
    </r>
  </si>
  <si>
    <t>F1</t>
  </si>
  <si>
    <t>FOOTING PROPORTIONING AND REINFORCEMENT</t>
  </si>
  <si>
    <r>
      <t>s</t>
    </r>
    <r>
      <rPr>
        <vertAlign val="subscript"/>
        <sz val="12"/>
        <rFont val="Arial"/>
        <family val="2"/>
      </rPr>
      <t>all</t>
    </r>
    <r>
      <rPr>
        <b/>
        <sz val="12"/>
        <rFont val="GreekC"/>
        <family val="0"/>
      </rPr>
      <t>=</t>
    </r>
  </si>
  <si>
    <r>
      <t>e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=</t>
    </r>
  </si>
  <si>
    <r>
      <t>e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</t>
    </r>
  </si>
  <si>
    <r>
      <t>s</t>
    </r>
    <r>
      <rPr>
        <vertAlign val="subscript"/>
        <sz val="10"/>
        <rFont val="Arial"/>
        <family val="2"/>
      </rPr>
      <t>1</t>
    </r>
    <r>
      <rPr>
        <sz val="10"/>
        <rFont val="GreekC"/>
        <family val="0"/>
      </rPr>
      <t>=</t>
    </r>
  </si>
  <si>
    <r>
      <t>s</t>
    </r>
    <r>
      <rPr>
        <vertAlign val="subscript"/>
        <sz val="10"/>
        <rFont val="Arial"/>
        <family val="2"/>
      </rPr>
      <t>2</t>
    </r>
    <r>
      <rPr>
        <sz val="10"/>
        <rFont val="GreekC"/>
        <family val="0"/>
      </rPr>
      <t>=</t>
    </r>
  </si>
  <si>
    <r>
      <t>s</t>
    </r>
    <r>
      <rPr>
        <vertAlign val="subscript"/>
        <sz val="10"/>
        <rFont val="Arial"/>
        <family val="2"/>
      </rPr>
      <t>3</t>
    </r>
    <r>
      <rPr>
        <sz val="10"/>
        <rFont val="GreekC"/>
        <family val="0"/>
      </rPr>
      <t>=</t>
    </r>
  </si>
  <si>
    <r>
      <t>s</t>
    </r>
    <r>
      <rPr>
        <vertAlign val="subscript"/>
        <sz val="10"/>
        <rFont val="Arial"/>
        <family val="2"/>
      </rPr>
      <t>4</t>
    </r>
    <r>
      <rPr>
        <sz val="10"/>
        <rFont val="GreekC"/>
        <family val="0"/>
      </rPr>
      <t>=</t>
    </r>
  </si>
  <si>
    <t>B</t>
  </si>
  <si>
    <t>s</t>
  </si>
  <si>
    <t>.</t>
  </si>
  <si>
    <t>Width</t>
  </si>
  <si>
    <t>Group</t>
  </si>
  <si>
    <t>FZ</t>
  </si>
  <si>
    <t>MX</t>
  </si>
  <si>
    <t>MY</t>
  </si>
  <si>
    <t>F-1</t>
  </si>
  <si>
    <t>F-2</t>
  </si>
  <si>
    <t>F-3</t>
  </si>
  <si>
    <t>F-4</t>
  </si>
  <si>
    <t>F-5</t>
  </si>
  <si>
    <t>F-6</t>
  </si>
  <si>
    <t>F-7</t>
  </si>
  <si>
    <t>F-8</t>
  </si>
  <si>
    <t>Trial            d=</t>
  </si>
  <si>
    <t>K1</t>
  </si>
  <si>
    <t>k2</t>
  </si>
  <si>
    <t xml:space="preserve">Use </t>
  </si>
  <si>
    <t xml:space="preserve">        D=</t>
  </si>
  <si>
    <t>Vp(KN)</t>
  </si>
  <si>
    <t xml:space="preserve"> Vwp(KN/m)</t>
  </si>
  <si>
    <t>Vw,a(KN/m)</t>
  </si>
  <si>
    <t>Vw,b(KN/m)</t>
  </si>
  <si>
    <t>C-25</t>
  </si>
  <si>
    <t>S-300</t>
  </si>
  <si>
    <t>Km</t>
  </si>
  <si>
    <t>Ks</t>
  </si>
  <si>
    <t>Vcp(KN)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</si>
</sst>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00"/>
    <numFmt numFmtId="167" formatCode="0.000000"/>
    <numFmt numFmtId="168" formatCode="0.00000"/>
    <numFmt numFmtId="169" formatCode="0.0000"/>
  </numFmts>
  <fonts count="3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2"/>
      <name val="GreekC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0"/>
      <name val="GreekC"/>
      <family val="0"/>
    </font>
    <font>
      <b/>
      <sz val="12"/>
      <name val="Arial"/>
      <family val="2"/>
    </font>
    <font>
      <b/>
      <sz val="18"/>
      <name val="CG Times"/>
      <family val="0"/>
    </font>
    <font>
      <b/>
      <sz val="10"/>
      <name val="Symbol"/>
      <family val="1"/>
    </font>
    <font>
      <sz val="10"/>
      <name val="CG Times"/>
      <family val="1"/>
    </font>
    <font>
      <b/>
      <sz val="10"/>
      <name val="CG Times"/>
      <family val="1"/>
    </font>
    <font>
      <b/>
      <sz val="10"/>
      <color indexed="14"/>
      <name val="Symbol"/>
      <family val="1"/>
    </font>
    <font>
      <b/>
      <sz val="10"/>
      <color indexed="12"/>
      <name val="CG Times"/>
      <family val="1"/>
    </font>
    <font>
      <b/>
      <sz val="10"/>
      <color indexed="10"/>
      <name val="CG Times"/>
      <family val="0"/>
    </font>
    <font>
      <sz val="10"/>
      <color indexed="12"/>
      <name val="CG Times"/>
      <family val="1"/>
    </font>
    <font>
      <b/>
      <sz val="10"/>
      <color indexed="14"/>
      <name val="CG Times"/>
      <family val="0"/>
    </font>
    <font>
      <b/>
      <sz val="10"/>
      <color indexed="10"/>
      <name val="Symbol"/>
      <family val="1"/>
    </font>
    <font>
      <b/>
      <sz val="10"/>
      <name val="Times New Roman"/>
      <family val="1"/>
    </font>
    <font>
      <vertAlign val="subscript"/>
      <sz val="12"/>
      <name val="Arial"/>
      <family val="2"/>
    </font>
    <font>
      <sz val="12"/>
      <name val="GreekC"/>
      <family val="0"/>
    </font>
    <font>
      <b/>
      <sz val="10"/>
      <color indexed="18"/>
      <name val="CG Times"/>
      <family val="0"/>
    </font>
    <font>
      <b/>
      <sz val="10"/>
      <color indexed="46"/>
      <name val="CG Times"/>
      <family val="0"/>
    </font>
    <font>
      <sz val="9"/>
      <name val="Arial"/>
      <family val="0"/>
    </font>
    <font>
      <b/>
      <sz val="10"/>
      <color indexed="10"/>
      <name val="Arial"/>
      <family val="2"/>
    </font>
    <font>
      <b/>
      <sz val="18"/>
      <color indexed="10"/>
      <name val="CG Times"/>
      <family val="0"/>
    </font>
    <font>
      <sz val="9"/>
      <color indexed="10"/>
      <name val="Arial"/>
      <family val="0"/>
    </font>
    <font>
      <sz val="8"/>
      <name val="Arial"/>
      <family val="0"/>
    </font>
    <font>
      <b/>
      <sz val="11"/>
      <color indexed="10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0" fillId="2" borderId="0" xfId="0" applyNumberFormat="1" applyFill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13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27" fillId="0" borderId="0" xfId="0" applyFont="1" applyAlignment="1">
      <alignment/>
    </xf>
    <xf numFmtId="2" fontId="19" fillId="0" borderId="0" xfId="0" applyNumberFormat="1" applyFont="1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2" fontId="6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2" fontId="6" fillId="0" borderId="0" xfId="0" applyNumberFormat="1" applyFont="1" applyAlignment="1">
      <alignment/>
    </xf>
    <xf numFmtId="2" fontId="0" fillId="2" borderId="0" xfId="0" applyNumberFormat="1" applyFont="1" applyFill="1" applyAlignment="1">
      <alignment horizontal="center"/>
    </xf>
    <xf numFmtId="0" fontId="28" fillId="0" borderId="0" xfId="0" applyFont="1" applyAlignment="1">
      <alignment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69" fontId="0" fillId="0" borderId="0" xfId="0" applyNumberFormat="1" applyFont="1" applyAlignment="1">
      <alignment/>
    </xf>
    <xf numFmtId="2" fontId="6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0" fontId="7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30" fillId="0" borderId="0" xfId="0" applyNumberFormat="1" applyFont="1" applyAlignment="1">
      <alignment horizontal="left"/>
    </xf>
    <xf numFmtId="2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28" fillId="0" borderId="1" xfId="0" applyFont="1" applyBorder="1" applyAlignment="1">
      <alignment/>
    </xf>
    <xf numFmtId="2" fontId="15" fillId="0" borderId="1" xfId="0" applyNumberFormat="1" applyFont="1" applyFill="1" applyBorder="1" applyAlignment="1">
      <alignment horizontal="center"/>
    </xf>
    <xf numFmtId="165" fontId="17" fillId="0" borderId="1" xfId="0" applyNumberFormat="1" applyFont="1" applyFill="1" applyBorder="1" applyAlignment="1">
      <alignment horizontal="center"/>
    </xf>
    <xf numFmtId="0" fontId="28" fillId="3" borderId="0" xfId="0" applyFont="1" applyFill="1" applyAlignment="1">
      <alignment/>
    </xf>
    <xf numFmtId="165" fontId="17" fillId="0" borderId="0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165" fontId="15" fillId="0" borderId="1" xfId="0" applyNumberFormat="1" applyFont="1" applyFill="1" applyBorder="1" applyAlignment="1">
      <alignment horizontal="center"/>
    </xf>
    <xf numFmtId="2" fontId="25" fillId="0" borderId="1" xfId="0" applyNumberFormat="1" applyFont="1" applyFill="1" applyBorder="1" applyAlignment="1">
      <alignment horizontal="center"/>
    </xf>
    <xf numFmtId="0" fontId="32" fillId="0" borderId="0" xfId="0" applyFont="1" applyAlignment="1">
      <alignment/>
    </xf>
    <xf numFmtId="2" fontId="5" fillId="0" borderId="0" xfId="0" applyNumberFormat="1" applyFont="1" applyAlignment="1">
      <alignment horizontal="left"/>
    </xf>
    <xf numFmtId="2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1" fontId="17" fillId="0" borderId="0" xfId="0" applyNumberFormat="1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28" fillId="0" borderId="0" xfId="0" applyFont="1" applyFill="1" applyAlignment="1">
      <alignment/>
    </xf>
    <xf numFmtId="0" fontId="5" fillId="0" borderId="0" xfId="0" applyFont="1" applyBorder="1" applyAlignment="1">
      <alignment/>
    </xf>
    <xf numFmtId="165" fontId="15" fillId="0" borderId="0" xfId="0" applyNumberFormat="1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133350</xdr:rowOff>
    </xdr:from>
    <xdr:to>
      <xdr:col>8</xdr:col>
      <xdr:colOff>66675</xdr:colOff>
      <xdr:row>14</xdr:row>
      <xdr:rowOff>57150</xdr:rowOff>
    </xdr:to>
    <xdr:sp>
      <xdr:nvSpPr>
        <xdr:cNvPr id="1" name="Rectangle 4"/>
        <xdr:cNvSpPr>
          <a:spLocks/>
        </xdr:cNvSpPr>
      </xdr:nvSpPr>
      <xdr:spPr>
        <a:xfrm>
          <a:off x="4295775" y="1238250"/>
          <a:ext cx="1228725" cy="1476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8</xdr:row>
      <xdr:rowOff>104775</xdr:rowOff>
    </xdr:from>
    <xdr:to>
      <xdr:col>7</xdr:col>
      <xdr:colOff>257175</xdr:colOff>
      <xdr:row>11</xdr:row>
      <xdr:rowOff>85725</xdr:rowOff>
    </xdr:to>
    <xdr:sp>
      <xdr:nvSpPr>
        <xdr:cNvPr id="2" name="Rectangle 5"/>
        <xdr:cNvSpPr>
          <a:spLocks/>
        </xdr:cNvSpPr>
      </xdr:nvSpPr>
      <xdr:spPr>
        <a:xfrm>
          <a:off x="4733925" y="1695450"/>
          <a:ext cx="41910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</xdr:row>
      <xdr:rowOff>171450</xdr:rowOff>
    </xdr:from>
    <xdr:to>
      <xdr:col>7</xdr:col>
      <xdr:colOff>47625</xdr:colOff>
      <xdr:row>15</xdr:row>
      <xdr:rowOff>152400</xdr:rowOff>
    </xdr:to>
    <xdr:sp>
      <xdr:nvSpPr>
        <xdr:cNvPr id="3" name="Line 6"/>
        <xdr:cNvSpPr>
          <a:spLocks/>
        </xdr:cNvSpPr>
      </xdr:nvSpPr>
      <xdr:spPr>
        <a:xfrm>
          <a:off x="4943475" y="876300"/>
          <a:ext cx="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10</xdr:row>
      <xdr:rowOff>0</xdr:rowOff>
    </xdr:from>
    <xdr:to>
      <xdr:col>9</xdr:col>
      <xdr:colOff>28575</xdr:colOff>
      <xdr:row>10</xdr:row>
      <xdr:rowOff>0</xdr:rowOff>
    </xdr:to>
    <xdr:sp>
      <xdr:nvSpPr>
        <xdr:cNvPr id="4" name="Line 7"/>
        <xdr:cNvSpPr>
          <a:spLocks/>
        </xdr:cNvSpPr>
      </xdr:nvSpPr>
      <xdr:spPr>
        <a:xfrm>
          <a:off x="3571875" y="191452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9</xdr:row>
      <xdr:rowOff>0</xdr:rowOff>
    </xdr:from>
    <xdr:to>
      <xdr:col>6</xdr:col>
      <xdr:colOff>400050</xdr:colOff>
      <xdr:row>10</xdr:row>
      <xdr:rowOff>95250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4572000" y="1752600"/>
          <a:ext cx="1143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6</xdr:col>
      <xdr:colOff>590550</xdr:colOff>
      <xdr:row>11</xdr:row>
      <xdr:rowOff>76200</xdr:rowOff>
    </xdr:from>
    <xdr:to>
      <xdr:col>7</xdr:col>
      <xdr:colOff>142875</xdr:colOff>
      <xdr:row>12</xdr:row>
      <xdr:rowOff>0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4876800" y="2152650"/>
          <a:ext cx="1619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5</xdr:col>
      <xdr:colOff>238125</xdr:colOff>
      <xdr:row>8</xdr:row>
      <xdr:rowOff>133350</xdr:rowOff>
    </xdr:from>
    <xdr:to>
      <xdr:col>5</xdr:col>
      <xdr:colOff>495300</xdr:colOff>
      <xdr:row>11</xdr:row>
      <xdr:rowOff>114300</xdr:rowOff>
    </xdr:to>
    <xdr:sp>
      <xdr:nvSpPr>
        <xdr:cNvPr id="7" name="Rectangle 10"/>
        <xdr:cNvSpPr>
          <a:spLocks/>
        </xdr:cNvSpPr>
      </xdr:nvSpPr>
      <xdr:spPr>
        <a:xfrm>
          <a:off x="3562350" y="1724025"/>
          <a:ext cx="2571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7</xdr:col>
      <xdr:colOff>0</xdr:colOff>
      <xdr:row>14</xdr:row>
      <xdr:rowOff>57150</xdr:rowOff>
    </xdr:from>
    <xdr:to>
      <xdr:col>7</xdr:col>
      <xdr:colOff>266700</xdr:colOff>
      <xdr:row>16</xdr:row>
      <xdr:rowOff>114300</xdr:rowOff>
    </xdr:to>
    <xdr:sp>
      <xdr:nvSpPr>
        <xdr:cNvPr id="8" name="Rectangle 11"/>
        <xdr:cNvSpPr>
          <a:spLocks/>
        </xdr:cNvSpPr>
      </xdr:nvSpPr>
      <xdr:spPr>
        <a:xfrm>
          <a:off x="4895850" y="2714625"/>
          <a:ext cx="2667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6</xdr:col>
      <xdr:colOff>600075</xdr:colOff>
      <xdr:row>2</xdr:row>
      <xdr:rowOff>123825</xdr:rowOff>
    </xdr:from>
    <xdr:to>
      <xdr:col>7</xdr:col>
      <xdr:colOff>352425</xdr:colOff>
      <xdr:row>3</xdr:row>
      <xdr:rowOff>190500</xdr:rowOff>
    </xdr:to>
    <xdr:sp>
      <xdr:nvSpPr>
        <xdr:cNvPr id="9" name="Rectangle 12"/>
        <xdr:cNvSpPr>
          <a:spLocks/>
        </xdr:cNvSpPr>
      </xdr:nvSpPr>
      <xdr:spPr>
        <a:xfrm>
          <a:off x="4886325" y="571500"/>
          <a:ext cx="3619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8</xdr:col>
      <xdr:colOff>561975</xdr:colOff>
      <xdr:row>8</xdr:row>
      <xdr:rowOff>142875</xdr:rowOff>
    </xdr:from>
    <xdr:to>
      <xdr:col>9</xdr:col>
      <xdr:colOff>238125</xdr:colOff>
      <xdr:row>10</xdr:row>
      <xdr:rowOff>142875</xdr:rowOff>
    </xdr:to>
    <xdr:sp>
      <xdr:nvSpPr>
        <xdr:cNvPr id="10" name="Rectangle 13"/>
        <xdr:cNvSpPr>
          <a:spLocks/>
        </xdr:cNvSpPr>
      </xdr:nvSpPr>
      <xdr:spPr>
        <a:xfrm>
          <a:off x="6019800" y="1733550"/>
          <a:ext cx="4095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workbookViewId="0" topLeftCell="A34">
      <selection activeCell="D43" sqref="D43"/>
    </sheetView>
  </sheetViews>
  <sheetFormatPr defaultColWidth="9.140625" defaultRowHeight="12.75"/>
  <cols>
    <col min="1" max="1" width="8.7109375" style="0" customWidth="1"/>
    <col min="2" max="2" width="11.28125" style="0" customWidth="1"/>
    <col min="3" max="3" width="9.7109375" style="0" customWidth="1"/>
    <col min="5" max="5" width="11.00390625" style="0" customWidth="1"/>
    <col min="6" max="6" width="14.421875" style="0" customWidth="1"/>
    <col min="8" max="8" width="8.421875" style="0" customWidth="1"/>
    <col min="9" max="9" width="11.00390625" style="0" customWidth="1"/>
    <col min="10" max="10" width="14.57421875" style="0" customWidth="1"/>
    <col min="11" max="11" width="11.7109375" style="0" customWidth="1"/>
    <col min="12" max="12" width="15.140625" style="0" customWidth="1"/>
  </cols>
  <sheetData>
    <row r="1" ht="22.5">
      <c r="A1" s="44" t="s">
        <v>63</v>
      </c>
    </row>
    <row r="3" spans="1:7" ht="20.25">
      <c r="A3" s="1" t="s">
        <v>0</v>
      </c>
      <c r="F3" s="93" t="s">
        <v>1</v>
      </c>
      <c r="G3" s="93"/>
    </row>
    <row r="4" spans="2:10" ht="15.75">
      <c r="B4" s="3" t="s">
        <v>2</v>
      </c>
      <c r="E4" s="2" t="s">
        <v>3</v>
      </c>
      <c r="F4" s="52">
        <v>1.06</v>
      </c>
      <c r="G4" t="s">
        <v>4</v>
      </c>
      <c r="J4" s="21"/>
    </row>
    <row r="5" spans="1:9" ht="15.75">
      <c r="A5" t="s">
        <v>5</v>
      </c>
      <c r="I5" s="3" t="s">
        <v>62</v>
      </c>
    </row>
    <row r="6" spans="3:9" ht="12.75">
      <c r="C6" s="4" t="s">
        <v>6</v>
      </c>
      <c r="D6" s="61">
        <v>1212.2459999999999</v>
      </c>
      <c r="F6" s="80">
        <v>3</v>
      </c>
      <c r="I6" s="79">
        <v>4</v>
      </c>
    </row>
    <row r="7" spans="1:4" ht="12.75">
      <c r="A7" t="s">
        <v>7</v>
      </c>
      <c r="D7" s="6">
        <f>1.3*F4*F20*F21*18</f>
        <v>238.36644000000004</v>
      </c>
    </row>
    <row r="8" spans="3:9" ht="12.75">
      <c r="C8" s="4" t="s">
        <v>8</v>
      </c>
      <c r="D8" s="7">
        <f>SUM(D6:D7)</f>
        <v>1450.6124399999999</v>
      </c>
      <c r="E8" t="s">
        <v>9</v>
      </c>
      <c r="I8">
        <v>2</v>
      </c>
    </row>
    <row r="9" spans="3:5" ht="12.75">
      <c r="C9" s="4" t="s">
        <v>10</v>
      </c>
      <c r="D9" s="61">
        <v>0.15539999999999998</v>
      </c>
      <c r="E9" t="s">
        <v>11</v>
      </c>
    </row>
    <row r="10" spans="3:5" ht="12.75">
      <c r="C10" s="4" t="s">
        <v>12</v>
      </c>
      <c r="D10" s="61">
        <v>0.756</v>
      </c>
      <c r="E10" t="s">
        <v>11</v>
      </c>
    </row>
    <row r="12" spans="3:5" ht="20.25">
      <c r="C12" s="45" t="s">
        <v>64</v>
      </c>
      <c r="D12" s="49">
        <v>150</v>
      </c>
      <c r="E12" t="s">
        <v>55</v>
      </c>
    </row>
    <row r="14" spans="1:5" ht="12.75">
      <c r="A14" t="s">
        <v>13</v>
      </c>
      <c r="C14" s="4" t="s">
        <v>14</v>
      </c>
      <c r="D14" s="48">
        <v>0.4</v>
      </c>
      <c r="E14" t="s">
        <v>4</v>
      </c>
    </row>
    <row r="15" spans="3:9" ht="12.75">
      <c r="C15" s="4" t="s">
        <v>15</v>
      </c>
      <c r="D15" s="48">
        <v>0.25</v>
      </c>
      <c r="E15" t="s">
        <v>4</v>
      </c>
      <c r="F15" s="80">
        <v>1</v>
      </c>
      <c r="I15" s="79">
        <v>2</v>
      </c>
    </row>
    <row r="17" spans="3:10" ht="18.75">
      <c r="C17" s="8" t="s">
        <v>16</v>
      </c>
      <c r="D17" t="s">
        <v>56</v>
      </c>
      <c r="J17" t="s">
        <v>74</v>
      </c>
    </row>
    <row r="18" spans="3:10" ht="15.75">
      <c r="C18" t="s">
        <v>57</v>
      </c>
      <c r="D18" t="s">
        <v>17</v>
      </c>
      <c r="J18">
        <f>(Pmax/$D$12)^0.5</f>
        <v>3.1097828863121615</v>
      </c>
    </row>
    <row r="19" spans="3:7" ht="15.75">
      <c r="C19" t="s">
        <v>18</v>
      </c>
      <c r="D19" s="9" t="s">
        <v>19</v>
      </c>
      <c r="E19" s="10" t="s">
        <v>20</v>
      </c>
      <c r="G19" s="51">
        <v>1</v>
      </c>
    </row>
    <row r="20" spans="3:6" ht="12.75">
      <c r="C20" t="s">
        <v>21</v>
      </c>
      <c r="E20" s="55">
        <f>G19*E21</f>
        <v>3.1</v>
      </c>
      <c r="F20" s="55">
        <f>ROUNDUP(E20,1)</f>
        <v>3.1</v>
      </c>
    </row>
    <row r="21" spans="3:10" ht="12.75">
      <c r="C21" t="s">
        <v>22</v>
      </c>
      <c r="E21" s="50">
        <f>I23</f>
        <v>3.1</v>
      </c>
      <c r="F21" s="55">
        <f>ROUNDUP(E21,1)</f>
        <v>3.1</v>
      </c>
      <c r="J21" s="54"/>
    </row>
    <row r="22" spans="3:10" ht="18.75">
      <c r="C22" t="s">
        <v>23</v>
      </c>
      <c r="H22" s="7"/>
      <c r="I22" s="59" t="s">
        <v>71</v>
      </c>
      <c r="J22" s="58" t="s">
        <v>72</v>
      </c>
    </row>
    <row r="23" spans="3:14" ht="22.5">
      <c r="C23" s="4" t="s">
        <v>24</v>
      </c>
      <c r="D23" s="53">
        <f>Pmax/(F20*F21)</f>
        <v>150.94822476586884</v>
      </c>
      <c r="H23" s="12"/>
      <c r="I23" s="56">
        <v>3.1</v>
      </c>
      <c r="J23" s="57">
        <f>Pmax/(I23^2)</f>
        <v>150.94822476586884</v>
      </c>
      <c r="K23" s="12"/>
      <c r="L23" s="12"/>
      <c r="M23" s="12"/>
      <c r="N23" s="12"/>
    </row>
    <row r="24" spans="3:14" ht="15.75">
      <c r="C24" s="4" t="s">
        <v>65</v>
      </c>
      <c r="D24" s="13">
        <f>Mx/Pmax</f>
        <v>0.00010712716623331866</v>
      </c>
      <c r="F24" s="12"/>
      <c r="G24" s="12"/>
      <c r="H24" s="12"/>
      <c r="I24" s="12"/>
      <c r="J24" s="12"/>
      <c r="K24" s="12"/>
      <c r="L24" s="12"/>
      <c r="M24" s="12"/>
      <c r="N24" s="12"/>
    </row>
    <row r="25" spans="3:14" ht="15.75">
      <c r="C25" s="4" t="s">
        <v>66</v>
      </c>
      <c r="D25" s="13">
        <f>My/Pmax</f>
        <v>0.0005211591870810097</v>
      </c>
      <c r="F25" s="12"/>
      <c r="G25" s="14"/>
      <c r="H25" s="14"/>
      <c r="I25" s="12"/>
      <c r="J25" s="12"/>
      <c r="K25" s="12"/>
      <c r="L25" s="12"/>
      <c r="M25" s="12"/>
      <c r="N25" s="12"/>
    </row>
    <row r="26" spans="3:15" ht="12.75">
      <c r="C26" s="4"/>
      <c r="F26" s="12"/>
      <c r="G26" s="28"/>
      <c r="H26" s="29"/>
      <c r="I26" s="29"/>
      <c r="J26" s="30"/>
      <c r="K26" s="31"/>
      <c r="L26" s="29"/>
      <c r="M26" s="29"/>
      <c r="N26" s="26"/>
      <c r="O26" s="27"/>
    </row>
    <row r="27" spans="3:15" ht="16.5">
      <c r="C27" s="46" t="s">
        <v>67</v>
      </c>
      <c r="D27" s="7">
        <f>(Pmax/($E$21*$E$20))*(1+((6*$D$24)/$E$20)+((6*$D$25)/$E$21))</f>
        <v>151.13178355879288</v>
      </c>
      <c r="F27" s="78" t="str">
        <f>IF(D27&lt;$D$12,"Proceed!","Revise B!")</f>
        <v>Revise B!</v>
      </c>
      <c r="G27" s="32"/>
      <c r="H27" s="33"/>
      <c r="I27" s="33"/>
      <c r="J27" s="34"/>
      <c r="K27" s="34"/>
      <c r="L27" s="35"/>
      <c r="M27" s="36"/>
      <c r="N27" s="24"/>
      <c r="O27" s="27"/>
    </row>
    <row r="28" spans="3:15" ht="16.5">
      <c r="C28" s="46" t="s">
        <v>68</v>
      </c>
      <c r="D28" s="7">
        <f>(Pmax/($F$21*$F$20))*(1+((6*$D$24)/$F$20)-((6*$D$25)/$F$21))</f>
        <v>150.82726205901105</v>
      </c>
      <c r="F28" s="47" t="str">
        <f>IF(D28&lt;$D$12,"Proceed!","Revise B!")</f>
        <v>Revise B!</v>
      </c>
      <c r="G28" s="24"/>
      <c r="H28" s="24"/>
      <c r="I28" s="24"/>
      <c r="J28" s="24"/>
      <c r="K28" s="24"/>
      <c r="L28" s="37"/>
      <c r="M28" s="24"/>
      <c r="N28" s="24"/>
      <c r="O28" s="27"/>
    </row>
    <row r="29" spans="3:15" ht="16.5">
      <c r="C29" s="46" t="s">
        <v>69</v>
      </c>
      <c r="D29" s="7">
        <f>(Pmax/($E$21*$E$20))*(1-((6*$D$24)/$E$20)+((6*$D$25)/$E$21))</f>
        <v>151.06918747272664</v>
      </c>
      <c r="F29" s="78" t="str">
        <f>IF(D29&lt;$D$12,"Proceed!","Revise B!")</f>
        <v>Revise B!</v>
      </c>
      <c r="G29" s="36"/>
      <c r="H29" s="36"/>
      <c r="I29" s="38"/>
      <c r="J29" s="38"/>
      <c r="K29" s="38"/>
      <c r="L29" s="38"/>
      <c r="M29" s="36"/>
      <c r="N29" s="24"/>
      <c r="O29" s="27"/>
    </row>
    <row r="30" spans="3:15" ht="16.5">
      <c r="C30" s="46" t="s">
        <v>70</v>
      </c>
      <c r="D30" s="7">
        <f>(Pmax/($E$21*$E$20))*(1-((6*$D$24)/$E$20)-((6*$D$25)/$E$21))</f>
        <v>150.7646659729448</v>
      </c>
      <c r="F30" s="47" t="str">
        <f>IF(D30&lt;$D$12,"Proceed!","Revise B!")</f>
        <v>Revise B!</v>
      </c>
      <c r="G30" s="37"/>
      <c r="H30" s="37"/>
      <c r="I30" s="39"/>
      <c r="J30" s="39"/>
      <c r="K30" s="37"/>
      <c r="L30" s="24"/>
      <c r="M30" s="24"/>
      <c r="N30" s="24"/>
      <c r="O30" s="27"/>
    </row>
    <row r="31" spans="3:15" ht="15.75">
      <c r="C31" s="46" t="s">
        <v>58</v>
      </c>
      <c r="D31" s="7">
        <f>SUM(D27:D30)/4</f>
        <v>150.94822476586884</v>
      </c>
      <c r="F31" s="78" t="str">
        <f>IF(D31&lt;$D$12,"Proceed!","Revise B!")</f>
        <v>Revise B!</v>
      </c>
      <c r="G31" s="26"/>
      <c r="H31" s="26"/>
      <c r="I31" s="26"/>
      <c r="J31" s="26"/>
      <c r="K31" s="26"/>
      <c r="L31" s="24"/>
      <c r="M31" s="24"/>
      <c r="N31" s="24"/>
      <c r="O31" s="27"/>
    </row>
    <row r="32" spans="2:15" ht="15.75">
      <c r="B32" s="1" t="s">
        <v>25</v>
      </c>
      <c r="F32" s="12"/>
      <c r="G32" s="40"/>
      <c r="H32" s="41"/>
      <c r="I32" s="41"/>
      <c r="J32" s="41"/>
      <c r="K32" s="41"/>
      <c r="L32" s="41"/>
      <c r="M32" s="36"/>
      <c r="N32" s="24"/>
      <c r="O32" s="27"/>
    </row>
    <row r="33" spans="2:15" ht="12.75">
      <c r="B33" t="s">
        <v>26</v>
      </c>
      <c r="D33" s="5">
        <v>25</v>
      </c>
      <c r="E33" t="s">
        <v>27</v>
      </c>
      <c r="F33" s="12"/>
      <c r="G33" s="25"/>
      <c r="H33" s="39"/>
      <c r="I33" s="39"/>
      <c r="J33" s="39"/>
      <c r="K33" s="39"/>
      <c r="L33" s="39"/>
      <c r="M33" s="39"/>
      <c r="N33" s="24"/>
      <c r="O33" s="27"/>
    </row>
    <row r="34" spans="2:15" ht="12.75">
      <c r="B34" s="4" t="s">
        <v>28</v>
      </c>
      <c r="C34" s="7">
        <f>0.85*0.8*D33/1.5</f>
        <v>11.333333333333334</v>
      </c>
      <c r="F34" s="12"/>
      <c r="G34" s="36"/>
      <c r="H34" s="36"/>
      <c r="I34" s="36"/>
      <c r="J34" s="36"/>
      <c r="K34" s="36"/>
      <c r="L34" s="42"/>
      <c r="M34" s="42"/>
      <c r="N34" s="24"/>
      <c r="O34" s="27"/>
    </row>
    <row r="35" spans="2:15" ht="12.75">
      <c r="B35" s="4" t="s">
        <v>29</v>
      </c>
      <c r="C35" s="7">
        <f>0.7*0.29*D33^(2/3)/1.5</f>
        <v>1.1570837239178977</v>
      </c>
      <c r="H35" s="39"/>
      <c r="I35" s="84"/>
      <c r="J35" s="84"/>
      <c r="K35" s="24"/>
      <c r="L35" s="39"/>
      <c r="M35" s="39"/>
      <c r="N35" s="26"/>
      <c r="O35" s="27"/>
    </row>
    <row r="36" spans="2:15" ht="20.25">
      <c r="B36" s="15" t="s">
        <v>59</v>
      </c>
      <c r="C36" s="16">
        <v>0.002</v>
      </c>
      <c r="D36" t="s">
        <v>30</v>
      </c>
      <c r="F36" s="83"/>
      <c r="G36" s="40"/>
      <c r="H36" s="39"/>
      <c r="I36" s="84"/>
      <c r="J36" s="84"/>
      <c r="K36" s="39"/>
      <c r="L36" s="42"/>
      <c r="M36" s="42"/>
      <c r="N36" s="26"/>
      <c r="O36" s="27"/>
    </row>
    <row r="37" spans="2:15" ht="12.75">
      <c r="B37" t="s">
        <v>31</v>
      </c>
      <c r="F37" s="83"/>
      <c r="G37" s="67"/>
      <c r="H37" s="35"/>
      <c r="I37" s="35"/>
      <c r="J37" s="35"/>
      <c r="K37" s="35"/>
      <c r="L37" s="39"/>
      <c r="M37" s="39"/>
      <c r="N37" s="26"/>
      <c r="O37" s="27"/>
    </row>
    <row r="38" spans="2:15" ht="12.75">
      <c r="B38" s="70" t="s">
        <v>88</v>
      </c>
      <c r="C38" s="70">
        <f>(1+50*$C$36)</f>
        <v>1.1</v>
      </c>
      <c r="E38" s="82"/>
      <c r="F38" s="12"/>
      <c r="G38" s="25"/>
      <c r="H38" s="39"/>
      <c r="I38" s="84"/>
      <c r="J38" s="85"/>
      <c r="K38" s="77"/>
      <c r="L38" s="89"/>
      <c r="M38" s="39"/>
      <c r="N38" s="26"/>
      <c r="O38" s="27"/>
    </row>
    <row r="39" spans="2:15" ht="12.75">
      <c r="B39" s="70" t="s">
        <v>89</v>
      </c>
      <c r="C39" s="70">
        <f>IF((1.6-$G$39)&gt;1,1.6-$G$39,1)</f>
        <v>1.1600000000000001</v>
      </c>
      <c r="F39" s="63" t="s">
        <v>87</v>
      </c>
      <c r="G39" s="64">
        <v>0.44</v>
      </c>
      <c r="H39" s="26"/>
      <c r="I39" s="90"/>
      <c r="J39" s="67"/>
      <c r="K39" s="69"/>
      <c r="L39" s="26"/>
      <c r="M39" s="26"/>
      <c r="N39" s="26"/>
      <c r="O39" s="27"/>
    </row>
    <row r="40" spans="1:15" ht="15.75">
      <c r="A40" s="17" t="s">
        <v>32</v>
      </c>
      <c r="B40" s="18" t="s">
        <v>33</v>
      </c>
      <c r="F40" s="12"/>
      <c r="G40" s="40"/>
      <c r="H40" s="35"/>
      <c r="I40" s="86"/>
      <c r="J40" s="85"/>
      <c r="K40" s="43"/>
      <c r="L40" s="35"/>
      <c r="M40" s="26"/>
      <c r="N40" s="26"/>
      <c r="O40" s="27"/>
    </row>
    <row r="41" spans="6:15" ht="12.75">
      <c r="F41" s="12"/>
      <c r="G41" s="39"/>
      <c r="H41" s="39"/>
      <c r="I41" s="87"/>
      <c r="J41" s="88"/>
      <c r="K41" s="67"/>
      <c r="L41" s="89"/>
      <c r="M41" s="26"/>
      <c r="N41" s="26"/>
      <c r="O41" s="27"/>
    </row>
    <row r="42" spans="2:12" ht="12.75">
      <c r="B42" s="70" t="s">
        <v>100</v>
      </c>
      <c r="C42" s="71">
        <f>(0.25*$C$35*1000*$C$38*$C$39)</f>
        <v>369.1097079298095</v>
      </c>
      <c r="D42" s="77" t="str">
        <f>IF(C42&gt;C43,"Vcp&gt;Vp","Vcp&lt;Vp")</f>
        <v>Vcp&gt;Vp</v>
      </c>
      <c r="E42" s="66" t="str">
        <f>IF(C42&gt;C43,"Proceed!","increase d!!")</f>
        <v>Proceed!</v>
      </c>
      <c r="H42" s="27"/>
      <c r="I42" s="87"/>
      <c r="J42" s="88"/>
      <c r="K42" s="67"/>
      <c r="L42" s="89"/>
    </row>
    <row r="43" spans="2:12" ht="12.75">
      <c r="B43" s="68" t="s">
        <v>92</v>
      </c>
      <c r="C43" s="65">
        <f>(Pmax-($D$31*($D$14+3*$G$39)*($D$15+3*$G$39)))/(2*(($D$14+3*$G$39)+($D$15+3*$G$39))*$G$39)</f>
        <v>360.24863699994734</v>
      </c>
      <c r="D43" s="69"/>
      <c r="E43" s="26"/>
      <c r="H43" s="27"/>
      <c r="I43" s="27"/>
      <c r="J43" s="27"/>
      <c r="K43" s="27"/>
      <c r="L43" s="27"/>
    </row>
    <row r="44" spans="8:12" ht="12.75">
      <c r="H44" s="27"/>
      <c r="I44" s="27"/>
      <c r="J44" s="27"/>
      <c r="K44" s="27"/>
      <c r="L44" s="27"/>
    </row>
    <row r="45" spans="2:12" ht="12.75">
      <c r="B45" s="4"/>
      <c r="C45" s="13"/>
      <c r="H45" s="27"/>
      <c r="I45" s="91"/>
      <c r="J45" s="92"/>
      <c r="K45" s="27"/>
      <c r="L45" s="27"/>
    </row>
    <row r="46" spans="1:2" ht="15.75">
      <c r="A46" s="17" t="s">
        <v>36</v>
      </c>
      <c r="B46" s="18" t="s">
        <v>37</v>
      </c>
    </row>
    <row r="47" ht="12.75">
      <c r="B47" s="4"/>
    </row>
    <row r="48" spans="2:5" ht="12.75">
      <c r="B48" s="76" t="s">
        <v>93</v>
      </c>
      <c r="C48" s="71">
        <f>0.25*$C$35*1000*$C$38*$C$39*$G$39</f>
        <v>162.40827148911617</v>
      </c>
      <c r="D48" s="43"/>
      <c r="E48" s="35"/>
    </row>
    <row r="49" spans="2:5" ht="12.75">
      <c r="B49" s="74" t="s">
        <v>94</v>
      </c>
      <c r="C49" s="75">
        <f>$D$31*(((0.5*$E$20)-(0.5*$D$15))-$G$39)*1</f>
        <v>148.68400139438083</v>
      </c>
      <c r="D49" s="67" t="str">
        <f>IF(C48&gt;C49,"Vwp&gt;Vw,a","Vwp&lt;Vw,a")</f>
        <v>Vwp&gt;Vw,a</v>
      </c>
      <c r="E49" s="66" t="str">
        <f>IF(C48&gt;C49,"Proceed!","increase d!!")</f>
        <v>Proceed!</v>
      </c>
    </row>
    <row r="50" spans="2:7" ht="12.75">
      <c r="B50" s="74" t="s">
        <v>95</v>
      </c>
      <c r="C50" s="75">
        <f>$D$31*(((0.5*$E$21)-(0.5*$D$14))-$G$39)*1</f>
        <v>137.36288453694067</v>
      </c>
      <c r="D50" s="67" t="str">
        <f>IF(C48&gt;C50,"Vwp&gt;Vw,b","Vwp&lt;Vw,b")</f>
        <v>Vwp&gt;Vw,b</v>
      </c>
      <c r="E50" s="66" t="str">
        <f>IF(C48&gt;C50,"Proceed!","increase d!!")</f>
        <v>Proceed!</v>
      </c>
      <c r="G50" s="9"/>
    </row>
    <row r="52" spans="2:6" ht="12.75">
      <c r="B52" t="s">
        <v>34</v>
      </c>
      <c r="E52" s="49">
        <v>50</v>
      </c>
      <c r="F52" t="s">
        <v>35</v>
      </c>
    </row>
    <row r="53" spans="1:3" ht="15">
      <c r="A53" s="72" t="s">
        <v>90</v>
      </c>
      <c r="B53" s="17" t="s">
        <v>91</v>
      </c>
      <c r="C53" s="73">
        <f>ROUNDUP(G39*1000+E52+I58,-1)</f>
        <v>510</v>
      </c>
    </row>
    <row r="54" spans="2:10" ht="12.75">
      <c r="B54" s="17" t="s">
        <v>15</v>
      </c>
      <c r="C54" s="73">
        <f>C53-E52-I58</f>
        <v>448</v>
      </c>
      <c r="D54" t="s">
        <v>35</v>
      </c>
      <c r="J54" s="11"/>
    </row>
    <row r="55" spans="1:10" ht="15.75">
      <c r="A55" s="17" t="s">
        <v>38</v>
      </c>
      <c r="B55" s="18" t="s">
        <v>39</v>
      </c>
      <c r="J55" s="11"/>
    </row>
    <row r="56" spans="2:10" ht="12.75">
      <c r="B56" s="4" t="s">
        <v>40</v>
      </c>
      <c r="C56" s="7">
        <f>0.5*$D$31*((($E$21/2)-($D$14/2))^2)</f>
        <v>137.551569817898</v>
      </c>
      <c r="D56" t="s">
        <v>41</v>
      </c>
      <c r="J56" s="11"/>
    </row>
    <row r="57" spans="2:10" ht="12.75">
      <c r="B57" s="4" t="s">
        <v>42</v>
      </c>
      <c r="C57" s="7">
        <f>0.5*$D$31*((($E$20/2)-($D$14/2))^2)</f>
        <v>137.551569817898</v>
      </c>
      <c r="D57" t="s">
        <v>41</v>
      </c>
      <c r="I57" s="19" t="s">
        <v>43</v>
      </c>
      <c r="J57" s="20" t="s">
        <v>44</v>
      </c>
    </row>
    <row r="58" spans="1:10" ht="15.75">
      <c r="A58" s="17" t="s">
        <v>45</v>
      </c>
      <c r="B58" s="18" t="s">
        <v>46</v>
      </c>
      <c r="H58" s="2" t="s">
        <v>47</v>
      </c>
      <c r="I58" s="47">
        <v>12</v>
      </c>
      <c r="J58" s="14">
        <f>3.14*I58^2/4</f>
        <v>113.04</v>
      </c>
    </row>
    <row r="59" spans="2:10" ht="12.75">
      <c r="B59" s="4" t="s">
        <v>48</v>
      </c>
      <c r="C59" s="21">
        <f>$C$36*1000*$C$54</f>
        <v>896</v>
      </c>
      <c r="D59" t="s">
        <v>41</v>
      </c>
      <c r="I59" s="2"/>
      <c r="J59" s="14"/>
    </row>
    <row r="60" spans="2:11" ht="14.25">
      <c r="B60" s="4" t="s">
        <v>49</v>
      </c>
      <c r="C60">
        <f>($C$54/1000)/SQRT($C$56)</f>
        <v>0.038198405824874125</v>
      </c>
      <c r="D60">
        <f>MAX(1/C60,19)</f>
        <v>26.179102986251266</v>
      </c>
      <c r="E60" s="4" t="s">
        <v>50</v>
      </c>
      <c r="F60" s="60">
        <f>LOOKUP(D60,'km-ks'!$A$3:$A$42,'km-ks'!$B$3:$B$42)</f>
        <v>4.0025</v>
      </c>
      <c r="G60" s="4" t="s">
        <v>51</v>
      </c>
      <c r="H60">
        <f>IF(F60*C56/($C$54/1000)&gt;C59,F60*C56/($C$54/1000),C59)</f>
        <v>1228.9066031163768</v>
      </c>
      <c r="I60" s="11" t="s">
        <v>60</v>
      </c>
      <c r="J60" s="21" t="str">
        <f>"Φ"&amp;""&amp;I58&amp;""&amp;"c/c"&amp;""&amp;ROUNDDOWN(1000/($H$60/$J$58),-1)&amp;""&amp;"mm"</f>
        <v>Φ12c/c90mm</v>
      </c>
      <c r="K60" s="22"/>
    </row>
    <row r="61" spans="2:11" ht="14.25">
      <c r="B61" s="4" t="s">
        <v>52</v>
      </c>
      <c r="C61">
        <f>($C$54/1000)/SQRT($C$57)</f>
        <v>0.038198405824874125</v>
      </c>
      <c r="D61">
        <f>MAX(1/C61,19)</f>
        <v>26.179102986251266</v>
      </c>
      <c r="E61" s="4" t="s">
        <v>53</v>
      </c>
      <c r="F61" s="60">
        <f>LOOKUP(D61,'km-ks'!$A$3:$A$42,'km-ks'!$B$3:$B$42)</f>
        <v>4.0025</v>
      </c>
      <c r="G61" s="4" t="s">
        <v>54</v>
      </c>
      <c r="H61">
        <f>IF(F61*C57/($C$54/1000)&gt;C59,F61*C57/($C$54/1000),C59)</f>
        <v>1228.9066031163768</v>
      </c>
      <c r="I61" t="s">
        <v>61</v>
      </c>
      <c r="J61" s="21" t="str">
        <f>J60</f>
        <v>Φ12c/c90mm</v>
      </c>
      <c r="K61" s="22"/>
    </row>
    <row r="62" spans="3:10" ht="12.75">
      <c r="C62" s="23"/>
      <c r="J62" t="s">
        <v>73</v>
      </c>
    </row>
    <row r="63" spans="2:9" ht="12.75">
      <c r="B63" s="4"/>
      <c r="I63" s="9"/>
    </row>
    <row r="66" spans="5:6" ht="12.75">
      <c r="E66" s="7"/>
      <c r="F66" s="7"/>
    </row>
  </sheetData>
  <mergeCells count="1">
    <mergeCell ref="F3:G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N1" sqref="N1"/>
    </sheetView>
  </sheetViews>
  <sheetFormatPr defaultColWidth="9.140625" defaultRowHeight="12.75"/>
  <sheetData>
    <row r="1" spans="1:4" ht="12.75">
      <c r="A1" s="21" t="s">
        <v>75</v>
      </c>
      <c r="B1" s="21" t="s">
        <v>76</v>
      </c>
      <c r="C1" s="21" t="s">
        <v>77</v>
      </c>
      <c r="D1" s="21" t="s">
        <v>78</v>
      </c>
    </row>
    <row r="2" spans="1:4" ht="12.75">
      <c r="A2" s="94" t="s">
        <v>79</v>
      </c>
      <c r="B2" s="61">
        <v>1212.2459999999999</v>
      </c>
      <c r="C2" s="61">
        <v>0.15539999999999998</v>
      </c>
      <c r="D2" s="61">
        <v>0.756</v>
      </c>
    </row>
    <row r="3" spans="1:4" ht="12.75">
      <c r="A3" s="94"/>
      <c r="B3" s="61">
        <v>1150.212</v>
      </c>
      <c r="C3" s="61">
        <v>0.5781999999999999</v>
      </c>
      <c r="D3" s="61">
        <v>62.4526</v>
      </c>
    </row>
    <row r="4" spans="1:4" ht="12.75">
      <c r="A4" s="62"/>
      <c r="B4" s="61"/>
      <c r="C4" s="61"/>
      <c r="D4" s="61"/>
    </row>
    <row r="5" spans="1:4" ht="12.75">
      <c r="A5" s="94" t="s">
        <v>80</v>
      </c>
      <c r="B5" s="61">
        <v>1765.792</v>
      </c>
      <c r="C5" s="61">
        <v>4.4548</v>
      </c>
      <c r="D5" s="61">
        <v>3.1919999999999997</v>
      </c>
    </row>
    <row r="6" spans="1:4" ht="12.75">
      <c r="A6" s="94"/>
      <c r="B6" s="61">
        <v>1563.716</v>
      </c>
      <c r="C6" s="61">
        <v>154.7812</v>
      </c>
      <c r="D6" s="61">
        <v>0.1904</v>
      </c>
    </row>
    <row r="7" spans="1:4" ht="12.75">
      <c r="A7" s="62"/>
      <c r="B7" s="61"/>
      <c r="C7" s="61"/>
      <c r="D7" s="61"/>
    </row>
    <row r="8" spans="1:4" ht="12.75">
      <c r="A8" s="94" t="s">
        <v>81</v>
      </c>
      <c r="B8" s="61">
        <v>1302.0559999999998</v>
      </c>
      <c r="C8" s="61">
        <v>9.24</v>
      </c>
      <c r="D8" s="61">
        <v>0.40319999999999995</v>
      </c>
    </row>
    <row r="9" spans="1:4" ht="12.75">
      <c r="A9" s="94"/>
      <c r="B9" s="61">
        <v>1242.752</v>
      </c>
      <c r="C9" s="61">
        <v>150.9956</v>
      </c>
      <c r="D9" s="61">
        <v>2.3547999999999996</v>
      </c>
    </row>
    <row r="10" spans="1:4" ht="12.75">
      <c r="A10" s="62"/>
      <c r="B10" s="61"/>
      <c r="C10" s="61"/>
      <c r="D10" s="61"/>
    </row>
    <row r="11" spans="1:4" ht="12.75">
      <c r="A11" s="94" t="s">
        <v>82</v>
      </c>
      <c r="B11" s="61">
        <v>1123.598</v>
      </c>
      <c r="C11" s="61">
        <v>3.0113999999999996</v>
      </c>
      <c r="D11" s="61">
        <v>0.7686000000000001</v>
      </c>
    </row>
    <row r="12" spans="1:4" ht="12.75">
      <c r="A12" s="94"/>
      <c r="B12" s="61">
        <v>851.648</v>
      </c>
      <c r="C12" s="61">
        <v>74.8146</v>
      </c>
      <c r="D12" s="61">
        <v>0.8371999999999999</v>
      </c>
    </row>
    <row r="13" spans="1:4" ht="12.75">
      <c r="A13" s="62"/>
      <c r="B13" s="61"/>
      <c r="C13" s="61"/>
      <c r="D13" s="61"/>
    </row>
    <row r="14" spans="1:4" ht="12.75">
      <c r="A14" s="94" t="s">
        <v>83</v>
      </c>
      <c r="B14" s="61">
        <v>1100.848</v>
      </c>
      <c r="C14" s="61">
        <v>3.8583999999999996</v>
      </c>
      <c r="D14" s="61">
        <v>1.9893999999999998</v>
      </c>
    </row>
    <row r="15" spans="1:4" ht="12.75">
      <c r="A15" s="94"/>
      <c r="B15" s="61">
        <v>816.298</v>
      </c>
      <c r="C15" s="61">
        <v>76.7256</v>
      </c>
      <c r="D15" s="61">
        <v>1.729</v>
      </c>
    </row>
    <row r="16" spans="1:4" ht="12.75">
      <c r="A16" s="62"/>
      <c r="B16" s="61"/>
      <c r="C16" s="61"/>
      <c r="D16" s="61"/>
    </row>
    <row r="17" spans="1:4" ht="12.75">
      <c r="A17" s="94" t="s">
        <v>84</v>
      </c>
      <c r="B17" s="61">
        <v>556.794</v>
      </c>
      <c r="C17" s="61">
        <v>1.4679</v>
      </c>
      <c r="D17" s="61">
        <v>0.0448</v>
      </c>
    </row>
    <row r="18" spans="1:4" ht="12.75">
      <c r="A18" s="94"/>
      <c r="B18" s="61">
        <v>429.975</v>
      </c>
      <c r="C18" s="61">
        <v>1.6898</v>
      </c>
      <c r="D18" s="61">
        <v>41.3238</v>
      </c>
    </row>
    <row r="19" spans="1:4" ht="12.75">
      <c r="A19" s="62"/>
      <c r="B19" s="61"/>
      <c r="C19" s="61"/>
      <c r="D19" s="61"/>
    </row>
    <row r="20" spans="1:4" ht="12.75">
      <c r="A20" s="94" t="s">
        <v>85</v>
      </c>
      <c r="B20" s="61">
        <v>574.1819999999999</v>
      </c>
      <c r="C20" s="61">
        <v>6.2734</v>
      </c>
      <c r="D20" s="61">
        <v>2.1364</v>
      </c>
    </row>
    <row r="21" spans="1:4" ht="12.75">
      <c r="A21" s="94"/>
      <c r="B21" s="61">
        <v>552.384</v>
      </c>
      <c r="C21" s="61">
        <v>91.52919999999999</v>
      </c>
      <c r="D21" s="61">
        <v>0.7392</v>
      </c>
    </row>
    <row r="22" spans="1:4" ht="12.75">
      <c r="A22" s="62"/>
      <c r="B22" s="61"/>
      <c r="C22" s="61"/>
      <c r="D22" s="61"/>
    </row>
    <row r="23" spans="1:4" ht="12.75">
      <c r="A23" s="94" t="s">
        <v>86</v>
      </c>
      <c r="B23" s="61">
        <v>744.422</v>
      </c>
      <c r="C23" s="61">
        <v>3.5685999999999996</v>
      </c>
      <c r="D23" s="61">
        <v>0.5264</v>
      </c>
    </row>
    <row r="24" spans="1:4" ht="12.75">
      <c r="A24" s="94"/>
      <c r="B24" s="61">
        <v>683.41</v>
      </c>
      <c r="C24" s="61">
        <v>91.54459999999999</v>
      </c>
      <c r="D24" s="61">
        <v>4.0222</v>
      </c>
    </row>
  </sheetData>
  <mergeCells count="8">
    <mergeCell ref="A2:A3"/>
    <mergeCell ref="A5:A6"/>
    <mergeCell ref="A8:A9"/>
    <mergeCell ref="A11:A12"/>
    <mergeCell ref="A14:A15"/>
    <mergeCell ref="A17:A18"/>
    <mergeCell ref="A20:A21"/>
    <mergeCell ref="A23:A2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2"/>
  <sheetViews>
    <sheetView workbookViewId="0" topLeftCell="A1">
      <selection activeCell="D2" sqref="D2"/>
    </sheetView>
  </sheetViews>
  <sheetFormatPr defaultColWidth="9.140625" defaultRowHeight="12.75"/>
  <sheetData>
    <row r="1" spans="1:2" ht="12.75">
      <c r="A1" s="81" t="s">
        <v>96</v>
      </c>
      <c r="B1" s="81" t="s">
        <v>97</v>
      </c>
    </row>
    <row r="2" spans="1:2" ht="12.75">
      <c r="A2" s="81" t="s">
        <v>98</v>
      </c>
      <c r="B2" s="81" t="s">
        <v>99</v>
      </c>
    </row>
    <row r="3" spans="1:2" ht="12.75">
      <c r="A3" s="59">
        <v>19</v>
      </c>
      <c r="B3" s="59">
        <v>3.95</v>
      </c>
    </row>
    <row r="4" spans="1:2" ht="12.75">
      <c r="A4" s="59">
        <v>20</v>
      </c>
      <c r="B4" s="59">
        <f>((($B$9-$B$3)*(A4-$A$3))/($A$9-$A$3))+$B$3</f>
        <v>3.956666666666667</v>
      </c>
    </row>
    <row r="5" spans="1:2" ht="12.75">
      <c r="A5" s="59">
        <v>21</v>
      </c>
      <c r="B5" s="59">
        <f>((($B$9-$B$3)*(A5-$A$3))/($A$9-$A$3))+$B$3</f>
        <v>3.9633333333333334</v>
      </c>
    </row>
    <row r="6" spans="1:2" ht="12.75">
      <c r="A6" s="59">
        <v>22</v>
      </c>
      <c r="B6" s="59">
        <f>((($B$9-$B$3)*(A6-$A$3))/($A$9-$A$3))+$B$3</f>
        <v>3.97</v>
      </c>
    </row>
    <row r="7" spans="1:2" ht="12.75">
      <c r="A7" s="59">
        <v>23</v>
      </c>
      <c r="B7" s="59">
        <f>((($B$9-$B$3)*(A7-$A$3))/($A$9-$A$3))+$B$3</f>
        <v>3.976666666666667</v>
      </c>
    </row>
    <row r="8" spans="1:2" ht="12.75">
      <c r="A8" s="59">
        <v>24</v>
      </c>
      <c r="B8" s="59">
        <f>((($B$9-$B$3)*(A8-$A$3))/($A$9-$A$3))+$B$3</f>
        <v>3.9833333333333334</v>
      </c>
    </row>
    <row r="9" spans="1:2" ht="12.75">
      <c r="A9" s="59">
        <v>25</v>
      </c>
      <c r="B9" s="59">
        <v>3.99</v>
      </c>
    </row>
    <row r="10" spans="1:2" ht="12.75">
      <c r="A10" s="59">
        <v>26</v>
      </c>
      <c r="B10" s="59">
        <f>((($B$13-$B$9)*(A10-$A$9))/($A$13-$A$9))+$B$9</f>
        <v>4.0025</v>
      </c>
    </row>
    <row r="11" spans="1:2" ht="12.75">
      <c r="A11" s="59">
        <v>27</v>
      </c>
      <c r="B11" s="59">
        <f>((($B$13-$B$9)*(A11-$A$9))/($A$13-$A$9))+$B$9</f>
        <v>4.015000000000001</v>
      </c>
    </row>
    <row r="12" spans="1:2" ht="12.75">
      <c r="A12" s="59">
        <v>28</v>
      </c>
      <c r="B12" s="59">
        <f>((($B$13-$B$9)*(A12-$A$9))/($A$13-$A$9))+$B$9</f>
        <v>4.0275</v>
      </c>
    </row>
    <row r="13" spans="1:2" ht="12.75">
      <c r="A13" s="59">
        <v>29</v>
      </c>
      <c r="B13" s="59">
        <v>4.04</v>
      </c>
    </row>
    <row r="14" spans="1:2" ht="12.75">
      <c r="A14" s="59">
        <v>30</v>
      </c>
      <c r="B14" s="59">
        <f>((($B$17-$B$13)*(A14-$A$13))/($A$17-$A$13))+$B$13</f>
        <v>4.05</v>
      </c>
    </row>
    <row r="15" spans="1:2" ht="12.75">
      <c r="A15" s="59">
        <v>31</v>
      </c>
      <c r="B15" s="59">
        <f>((($B$17-$B$13)*(A15-$A$13))/($A$17-$A$13))+$B$13</f>
        <v>4.0600000000000005</v>
      </c>
    </row>
    <row r="16" spans="1:2" ht="12.75">
      <c r="A16" s="59">
        <v>32</v>
      </c>
      <c r="B16" s="59">
        <f>((($B$17-$B$13)*(A16-$A$13))/($A$17-$A$13))+$B$13</f>
        <v>4.07</v>
      </c>
    </row>
    <row r="17" spans="1:2" ht="12.75">
      <c r="A17" s="59">
        <v>33</v>
      </c>
      <c r="B17" s="59">
        <v>4.08</v>
      </c>
    </row>
    <row r="18" spans="1:2" ht="12.75">
      <c r="A18" s="59">
        <v>34</v>
      </c>
      <c r="B18" s="59">
        <f>((($B$21-$B$17)*(A18-$A$17))/($A$21-$A$17))+$B$17</f>
        <v>4.09</v>
      </c>
    </row>
    <row r="19" spans="1:2" ht="12.75">
      <c r="A19" s="59">
        <v>35</v>
      </c>
      <c r="B19" s="59">
        <f>((($B$21-$B$17)*(A19-$A$17))/($A$21-$A$17))+$B$17</f>
        <v>4.1</v>
      </c>
    </row>
    <row r="20" spans="1:2" ht="12.75">
      <c r="A20" s="59">
        <v>36</v>
      </c>
      <c r="B20" s="59">
        <f>((($B$21-$B$17)*(A20-$A$17))/($A$21-$A$17))+$B$17</f>
        <v>4.11</v>
      </c>
    </row>
    <row r="21" spans="1:2" ht="12.75">
      <c r="A21" s="59">
        <v>37</v>
      </c>
      <c r="B21" s="59">
        <v>4.12</v>
      </c>
    </row>
    <row r="22" spans="1:2" ht="12.75">
      <c r="A22" s="59">
        <v>38</v>
      </c>
      <c r="B22" s="59">
        <v>4.145</v>
      </c>
    </row>
    <row r="23" spans="1:2" ht="12.75">
      <c r="A23" s="59">
        <v>39</v>
      </c>
      <c r="B23" s="59">
        <v>4.17</v>
      </c>
    </row>
    <row r="24" spans="1:2" ht="12.75">
      <c r="A24" s="59">
        <v>40</v>
      </c>
      <c r="B24" s="59">
        <f>((($B$26-$B$23)*(A24-$A$23))/($A$26-$A$23))+$B$23</f>
        <v>4.183333333333334</v>
      </c>
    </row>
    <row r="25" spans="1:2" ht="12.75">
      <c r="A25" s="59">
        <v>41</v>
      </c>
      <c r="B25" s="59">
        <f>((($B$26-$B$23)*(A25-$A$23))/($A$26-$A$23))+$B$23</f>
        <v>4.196666666666666</v>
      </c>
    </row>
    <row r="26" spans="1:2" ht="12.75">
      <c r="A26" s="59">
        <v>42</v>
      </c>
      <c r="B26" s="59">
        <v>4.21</v>
      </c>
    </row>
    <row r="27" spans="1:2" ht="12.75">
      <c r="A27" s="59">
        <v>43</v>
      </c>
      <c r="B27" s="59">
        <v>4.235</v>
      </c>
    </row>
    <row r="28" spans="1:2" ht="12.75">
      <c r="A28" s="59">
        <v>44</v>
      </c>
      <c r="B28" s="59">
        <v>4.26</v>
      </c>
    </row>
    <row r="29" spans="1:2" ht="12.75">
      <c r="A29" s="59">
        <v>45</v>
      </c>
      <c r="B29" s="59">
        <v>4.285</v>
      </c>
    </row>
    <row r="30" spans="1:2" ht="12.75">
      <c r="A30" s="59">
        <v>46</v>
      </c>
      <c r="B30" s="59">
        <v>4.31</v>
      </c>
    </row>
    <row r="31" spans="1:2" ht="12.75">
      <c r="A31" s="59">
        <v>47</v>
      </c>
      <c r="B31" s="59">
        <v>4.335</v>
      </c>
    </row>
    <row r="32" spans="1:2" ht="12.75">
      <c r="A32" s="59">
        <v>48</v>
      </c>
      <c r="B32" s="59">
        <v>4.36</v>
      </c>
    </row>
    <row r="33" spans="1:2" ht="12.75">
      <c r="A33" s="59">
        <v>49</v>
      </c>
      <c r="B33" s="59">
        <v>4.385</v>
      </c>
    </row>
    <row r="34" spans="1:2" ht="12.75">
      <c r="A34" s="59">
        <v>50</v>
      </c>
      <c r="B34" s="59">
        <v>4.41</v>
      </c>
    </row>
    <row r="35" spans="1:2" ht="12.75">
      <c r="A35" s="59">
        <v>51</v>
      </c>
      <c r="B35" s="59">
        <v>4.46</v>
      </c>
    </row>
    <row r="36" spans="1:2" ht="12.75">
      <c r="A36" s="59">
        <v>52</v>
      </c>
      <c r="B36" s="59">
        <v>4.485</v>
      </c>
    </row>
    <row r="37" spans="1:2" ht="12.75">
      <c r="A37" s="59">
        <v>53</v>
      </c>
      <c r="B37" s="59">
        <v>4.51</v>
      </c>
    </row>
    <row r="38" spans="1:2" ht="12.75">
      <c r="A38" s="59">
        <v>54</v>
      </c>
      <c r="B38" s="59">
        <v>4.56</v>
      </c>
    </row>
    <row r="39" spans="1:2" ht="12.75">
      <c r="A39" s="59">
        <v>55</v>
      </c>
      <c r="B39" s="59">
        <v>4.62</v>
      </c>
    </row>
    <row r="40" spans="1:2" ht="12.75">
      <c r="A40" s="59">
        <v>56</v>
      </c>
      <c r="B40" s="59">
        <v>4.645</v>
      </c>
    </row>
    <row r="41" spans="1:2" ht="12.75">
      <c r="A41" s="59">
        <v>57</v>
      </c>
      <c r="B41" s="59">
        <v>4.67</v>
      </c>
    </row>
    <row r="42" spans="1:2" ht="12.75">
      <c r="A42" s="59">
        <v>58</v>
      </c>
      <c r="B42" s="59">
        <v>4.73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Tesfaaye</cp:lastModifiedBy>
  <dcterms:created xsi:type="dcterms:W3CDTF">2006-05-15T13:55:09Z</dcterms:created>
  <dcterms:modified xsi:type="dcterms:W3CDTF">2007-03-29T15:55:51Z</dcterms:modified>
  <cp:category/>
  <cp:version/>
  <cp:contentType/>
  <cp:contentStatus/>
</cp:coreProperties>
</file>